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60" windowWidth="18825" windowHeight="7065" firstSheet="12" activeTab="15"/>
  </bookViews>
  <sheets>
    <sheet name="Висарт 6м 2019" sheetId="71" state="hidden" r:id="rId1"/>
    <sheet name="2019" sheetId="5" state="hidden" r:id="rId2"/>
    <sheet name="ОСВ Technology" sheetId="6" state="hidden" r:id="rId3"/>
    <sheet name="ОСВ KA" sheetId="4" state="hidden" r:id="rId4"/>
    <sheet name="ОСВ Hotel" sheetId="10" state="hidden" r:id="rId5"/>
    <sheet name="ОСВ VisArt " sheetId="11" state="hidden" r:id="rId6"/>
    <sheet name="ОСВ ТМО" sheetId="7" state="hidden" r:id="rId7"/>
    <sheet name="ОСВ City A Invest" sheetId="12" state="hidden" r:id="rId8"/>
    <sheet name="Предоплата" sheetId="24" state="hidden" r:id="rId9"/>
    <sheet name="Forex" sheetId="55" state="hidden" r:id="rId10"/>
    <sheet name="ОСВ Logistics" sheetId="8" state="hidden" r:id="rId11"/>
    <sheet name="Займы выданные" sheetId="20" state="hidden" r:id="rId12"/>
    <sheet name="СК" sheetId="44" r:id="rId13"/>
    <sheet name="ОПИУ" sheetId="79" r:id="rId14"/>
    <sheet name="ББ" sheetId="1" r:id="rId15"/>
    <sheet name="ДДС" sheetId="58" r:id="rId16"/>
    <sheet name="5" sheetId="77" r:id="rId17"/>
    <sheet name="6" sheetId="16" r:id="rId18"/>
    <sheet name="7" sheetId="17" r:id="rId19"/>
    <sheet name="8" sheetId="18" r:id="rId20"/>
    <sheet name="9" sheetId="21" r:id="rId21"/>
    <sheet name="Авансы выданные" sheetId="53" state="hidden" r:id="rId22"/>
    <sheet name="10" sheetId="22" r:id="rId23"/>
    <sheet name="11.1" sheetId="31" state="hidden" r:id="rId24"/>
    <sheet name="11" sheetId="25" r:id="rId25"/>
    <sheet name="12" sheetId="27" r:id="rId26"/>
    <sheet name="13" sheetId="28" r:id="rId27"/>
    <sheet name="14" sheetId="29" r:id="rId28"/>
    <sheet name="15" sheetId="64" r:id="rId29"/>
    <sheet name="16" sheetId="33" r:id="rId30"/>
    <sheet name="17" sheetId="34" r:id="rId31"/>
    <sheet name="18" sheetId="35" r:id="rId32"/>
    <sheet name="19" sheetId="36" r:id="rId33"/>
    <sheet name="20" sheetId="37" r:id="rId34"/>
    <sheet name="21" sheetId="60" r:id="rId35"/>
    <sheet name="22" sheetId="40" r:id="rId36"/>
    <sheet name="23" sheetId="38" r:id="rId37"/>
    <sheet name="24" sheetId="41" r:id="rId38"/>
    <sheet name="25" sheetId="45" r:id="rId39"/>
    <sheet name="26" sheetId="56" r:id="rId40"/>
    <sheet name="27" sheetId="46" r:id="rId41"/>
    <sheet name="28" sheetId="47" r:id="rId42"/>
    <sheet name="29" sheetId="48" r:id="rId43"/>
    <sheet name="30" sheetId="65" r:id="rId44"/>
    <sheet name="31" sheetId="49" r:id="rId45"/>
    <sheet name="Cash" sheetId="30" state="hidden" r:id="rId46"/>
    <sheet name="Прочее" sheetId="23" state="hidden" r:id="rId47"/>
    <sheet name="ТМЗ" sheetId="26" state="hidden" r:id="rId48"/>
    <sheet name="RP" sheetId="51" state="hidden" r:id="rId49"/>
    <sheet name="Сегменты" sheetId="59" state="hidden" r:id="rId50"/>
    <sheet name="Фин инструменты" sheetId="52" state="hidden" r:id="rId51"/>
    <sheet name="Влияние МСФО 9" sheetId="61" state="hidden" r:id="rId52"/>
    <sheet name="x-rates" sheetId="62" state="hidden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5450_01">#REF!</definedName>
    <definedName name="__5456_n">#REF!</definedName>
    <definedName name="_1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'[1]A-20'!$C$149</definedName>
    <definedName name="_4151_01">'[1]A-20'!$E$149</definedName>
    <definedName name="_4151_n">#REF!</definedName>
    <definedName name="_4152_00">'[1]A-20'!$C$150</definedName>
    <definedName name="_4152_01">'[1]A-20'!$E$150</definedName>
    <definedName name="_4152_n">#REF!</definedName>
    <definedName name="_4155_00">'[1]A-20'!$C$151</definedName>
    <definedName name="_4155_01">'[1]A-20'!$E$151</definedName>
    <definedName name="_4155_n">'[1]A-20'!$B$151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'[1]A-20'!$C$170</definedName>
    <definedName name="_4450_01">'[1]A-20'!$E$170</definedName>
    <definedName name="_4450_n">'[1]A-20'!$B$170</definedName>
    <definedName name="_4490_n">#REF!</definedName>
    <definedName name="_4491_00">'[1]A-20'!$C$173</definedName>
    <definedName name="_4491_01">'[1]A-20'!$E$173</definedName>
    <definedName name="_4491_n">'[1]A-20'!$B$173</definedName>
    <definedName name="_4500_n">#REF!</definedName>
    <definedName name="_4510_00">'[1]A-20'!$C$176</definedName>
    <definedName name="_4510_01">'[1]A-20'!$E$176</definedName>
    <definedName name="_4510_n">'[1]A-20'!$B$176</definedName>
    <definedName name="_4530_00">'[1]A-20'!$C$177</definedName>
    <definedName name="_4530_01">'[1]A-20'!$E$177</definedName>
    <definedName name="_4530_n">'[1]A-20'!$B$177</definedName>
    <definedName name="_4600_n">#REF!</definedName>
    <definedName name="_4601_00">#REF!</definedName>
    <definedName name="_4601_01">#REF!</definedName>
    <definedName name="_4601_n">#REF!</definedName>
    <definedName name="_4603_00">'[1]A-20'!$C$181</definedName>
    <definedName name="_4603_01">'[1]A-20'!$E$181</definedName>
    <definedName name="_4603_n">'[1]A-20'!$B$181</definedName>
    <definedName name="_4604_00">'[1]A-20'!$C$182</definedName>
    <definedName name="_4604_01">'[1]A-20'!$E$182</definedName>
    <definedName name="_4604_n">'[1]A-20'!$B$182</definedName>
    <definedName name="_4606_00">'[1]A-20'!$C$183</definedName>
    <definedName name="_4606_01">'[1]A-20'!$E$183</definedName>
    <definedName name="_4606_n">'[1]A-20'!$B$183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'[1]A-20'!$C$188</definedName>
    <definedName name="_4703_01">'[1]A-20'!$E$188</definedName>
    <definedName name="_4703_n">'[1]A-20'!$B$188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'[1]A-20'!$C$27</definedName>
    <definedName name="_5302_01">'[1]A-20'!$E$27</definedName>
    <definedName name="_5302_n">'[1]A-20'!$B$27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'[1]A-20'!$C$41</definedName>
    <definedName name="_5510_01">'[1]A-20'!$E$41</definedName>
    <definedName name="_5510_n">'[1]A-20'!$B$41</definedName>
    <definedName name="_5530_00">'[1]A-20'!$C$42</definedName>
    <definedName name="_5530_01">'[1]A-20'!$E$42</definedName>
    <definedName name="_5530_n">'[1]A-20'!$B$42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'[1]A-20'!$C$46</definedName>
    <definedName name="_5602_01">'[1]A-20'!$E$46</definedName>
    <definedName name="_5602_n">#REF!</definedName>
    <definedName name="_5603_00">'[1]A-20'!$C$47</definedName>
    <definedName name="_5603_01">'[1]A-20'!$E$47</definedName>
    <definedName name="_5603_n">'[1]A-20'!$B$47</definedName>
    <definedName name="_5604_00">'[1]A-20'!$C$48</definedName>
    <definedName name="_5604_01">'[1]A-20'!$E$48</definedName>
    <definedName name="_5604_n">'[1]A-20'!$B$48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'[1]A-20'!$C$53</definedName>
    <definedName name="_5703_01">'[1]A-20'!$E$53</definedName>
    <definedName name="_5703_n">'[1]A-20'!$B$53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Hlk15556418" localSheetId="12">СК!$C$22</definedName>
    <definedName name="_Hlk15640720" localSheetId="30">'17'!#REF!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[2]Расчет_Ин!$H$8</definedName>
    <definedName name="_RA1">#REF!</definedName>
    <definedName name="_RSE1">#REF!</definedName>
    <definedName name="_RSE2">#REF!</definedName>
    <definedName name="_RSE3">'[3]CMA '!$H$78</definedName>
    <definedName name="_sh1">'[4]I-Index'!#REF!</definedName>
    <definedName name="_xlnm._FilterDatabase" localSheetId="19" hidden="1">'8'!#REF!</definedName>
    <definedName name="_xlnm._FilterDatabase" localSheetId="9" hidden="1">Forex!#REF!</definedName>
    <definedName name="_xlnm._FilterDatabase" localSheetId="21" hidden="1">'Авансы выданные'!$A$103:$I$904</definedName>
    <definedName name="_xlnm._FilterDatabase" localSheetId="7" hidden="1">'ОСВ City A Invest'!$A$5:$K$26</definedName>
    <definedName name="_xlnm._FilterDatabase" localSheetId="4" hidden="1">'ОСВ Hotel'!$A$1:$K$78</definedName>
    <definedName name="_xlnm._FilterDatabase" localSheetId="3" hidden="1">'ОСВ KA'!$A$238:$O$267</definedName>
    <definedName name="_xlnm._FilterDatabase" localSheetId="10" hidden="1">'ОСВ Logistics'!$A$5:$I$5</definedName>
    <definedName name="_xlnm._FilterDatabase" localSheetId="2" hidden="1">'ОСВ Technology'!$A$6:$X$112</definedName>
    <definedName name="_xlnm._FilterDatabase" localSheetId="5" hidden="1">'ОСВ VisArt '!$A$5:$N$39</definedName>
    <definedName name="_xlnm._FilterDatabase" localSheetId="6" hidden="1">'ОСВ ТМО'!$A$6:$J$23</definedName>
    <definedName name="_xlnm._FilterDatabase" localSheetId="8" hidden="1">Предоплата!$A$24:$Y$420</definedName>
    <definedName name="_xlnm._FilterDatabase" localSheetId="46" hidden="1">Прочее!$A$30:$H$104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cm">'[5]CamKum Prod'!$H$11</definedName>
    <definedName name="BG_Del" hidden="1">15</definedName>
    <definedName name="BG_Ins" hidden="1">4</definedName>
    <definedName name="BG_Mod" hidden="1">6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hart3" hidden="1">'[5]Prelim Cost'!$B$31:$L$31</definedName>
    <definedName name="chart4" hidden="1">'[5]Prelim Cost'!$B$33:$L$33</definedName>
    <definedName name="charte4" hidden="1">'[5]Prelim Cost'!$B$36:$L$36</definedName>
    <definedName name="Current">#REF!</definedName>
    <definedName name="dItemsToTest">#REF!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opdown">[6]dropdown!#REF!</definedName>
    <definedName name="dsadsa">#REF!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G_70">#REF!</definedName>
    <definedName name="hghg">#REF!</definedName>
    <definedName name="INV">#REF!</definedName>
    <definedName name="L_CY_Beg">[7]Links!$F:$F</definedName>
    <definedName name="MIF">#REF!</definedName>
    <definedName name="MIN_SALARY">#REF!</definedName>
    <definedName name="MINED">'[5]CamKum Prod'!$H$17</definedName>
    <definedName name="Number_of_Selections">#REF!</definedName>
    <definedName name="OLE_LINK4" localSheetId="14">ББ!#REF!</definedName>
    <definedName name="POURED">'[5]CamKum Prod'!$H$28</definedName>
    <definedName name="price">#REF!</definedName>
    <definedName name="Prior">#REF!</definedName>
    <definedName name="qsda" hidden="1">4</definedName>
    <definedName name="S_CY_Beg_Data">[7]Lead!$F$1:$F$55</definedName>
    <definedName name="Shapka">#REF!</definedName>
    <definedName name="Shapka1">#REF!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xrate">#REF!</definedName>
    <definedName name="TextRefCopy117">'[8]Disclosure Investment property'!#REF!</definedName>
    <definedName name="TextRefCopy119">'[8]Disclosure Investment property'!#REF!</definedName>
    <definedName name="TextRefCopy121">'[8]Disclosure Investment property'!#REF!</definedName>
    <definedName name="TextRefCopy123">'[8]Disclosure Investment property'!#REF!</definedName>
    <definedName name="TextRefCopy128">[8]CIP!$C$59</definedName>
    <definedName name="TextRefCopy15">[9]Summary!$G$33</definedName>
    <definedName name="TextRefCopy55">[10]Sheet1!$D$4</definedName>
    <definedName name="TextRefCopy56">'[8]PPE mvt'!$M$34</definedName>
    <definedName name="TextRefCopy62">[8]CIP!$O$46</definedName>
    <definedName name="TextRefCopy63">'[8]Investment property'!$C$32</definedName>
    <definedName name="TextRefCopy64">'[11]PPE movement'!#REF!</definedName>
    <definedName name="TextRefCopy67">'[11]PPE movement'!#REF!</definedName>
    <definedName name="TextRefCopy71">'[8]1510 LT Assets for sale'!$B$24</definedName>
    <definedName name="TextRefCopy72">[11]Depreciation!#REF!</definedName>
    <definedName name="TextRefCopy76">'[8]PPE mvt'!$U$28</definedName>
    <definedName name="TextRefCopy77">'[8]Investment property'!$C$22</definedName>
    <definedName name="TextRefCopy78">'[8]1510 LT Assets for sale'!$M$22</definedName>
    <definedName name="TextRefCopy80">'[8]Investment property'!$E$22</definedName>
    <definedName name="TextRefCopy82">'[8]Investment property'!$G$22</definedName>
    <definedName name="TextRefCopy86">'[8]1510 LT Assets for sale'!$N$22</definedName>
    <definedName name="TextRefCopy95">#REF!</definedName>
    <definedName name="TextRefCopy97">#REF!</definedName>
    <definedName name="TextRefCopy98">#REF!</definedName>
    <definedName name="TextRefCopyRangeCount" hidden="1">115</definedName>
    <definedName name="TONMILL">'[5]CamKum Prod'!$H$21</definedName>
    <definedName name="TONMIN">'[5]CamKum Prod'!$H$15</definedName>
    <definedName name="total_1">#REF!</definedName>
    <definedName name="Total_Amount">#REF!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version">[12]INSTRUCTIONS!$D$110</definedName>
    <definedName name="vfhn">[13]Апрель!#REF!</definedName>
    <definedName name="vfhn02u">[14]Март!#REF!</definedName>
    <definedName name="W">#REF!</definedName>
    <definedName name="wer">#REF!</definedName>
    <definedName name="wrn.Aging._.and._.Trend._.Analysis." hidden="1">{#N/A,#N/A,FALSE,"Aging Summary";#N/A,#N/A,FALSE,"Ratio Analysis";#N/A,#N/A,FALSE,"Test 120 Day Accts";#N/A,#N/A,FALSE,"Tickmarks"}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2" hidden="1">'[15]PPE Mvt'!#REF!</definedName>
    <definedName name="XREF_COLUMN_3" hidden="1">'[15]PPE Mvt'!#REF!</definedName>
    <definedName name="XREF_COLUMN_4" hidden="1">#REF!</definedName>
    <definedName name="XREF_COLUMN_5" hidden="1">'[15]PPE Mvt'!#REF!</definedName>
    <definedName name="XREF_COLUMN_6" hidden="1">'[8]Disclosure Investment property'!#REF!</definedName>
    <definedName name="XREF_COLUMN_7" hidden="1">'[8]Disclosure Investment property'!#REF!</definedName>
    <definedName name="XREF_COLUMN_8" hidden="1">'[8]1510 LT Assets for sale'!#REF!</definedName>
    <definedName name="XREF_COLUMN_9" hidden="1">#REF!</definedName>
    <definedName name="XRefColumnsCount" hidden="1">8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Row" hidden="1">[16]XREF!#REF!</definedName>
    <definedName name="XRefCopy18Row" hidden="1">[16]XREF!#REF!</definedName>
    <definedName name="XRefCopy1Row" hidden="1">[17]XREF!#REF!</definedName>
    <definedName name="XRefCopy2" hidden="1">'[8]Disclosure Investment property'!#REF!</definedName>
    <definedName name="XRefCopy23Row" hidden="1">[16]XREF!#REF!</definedName>
    <definedName name="XRefCopy24Row" hidden="1">[16]XREF!#REF!</definedName>
    <definedName name="XRefCopy25Row" hidden="1">[16]XREF!#REF!</definedName>
    <definedName name="XRefCopy26Row" hidden="1">[16]XREF!#REF!</definedName>
    <definedName name="XRefCopy29Row" hidden="1">[16]XREF!#REF!</definedName>
    <definedName name="XRefCopy3" hidden="1">'[8]Disclosure Investment property'!#REF!</definedName>
    <definedName name="XRefCopy30Row" hidden="1">[16]XREF!#REF!</definedName>
    <definedName name="XRefCopy31Row" hidden="1">[16]XREF!#REF!</definedName>
    <definedName name="XRefCopy32Row" hidden="1">[16]XREF!#REF!</definedName>
    <definedName name="XRefCopy4" hidden="1">'[8]Disclosure Investment property'!#REF!</definedName>
    <definedName name="XRefCopy5" hidden="1">'[8]PPE mvt'!#REF!</definedName>
    <definedName name="XRefCopy5Row" hidden="1">#REF!</definedName>
    <definedName name="XRefCopy6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5</definedName>
    <definedName name="XRefPaste11" hidden="1">'[8]PPE mvt'!#REF!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[16]XREF!#REF!</definedName>
    <definedName name="XRefPaste18Row" hidden="1">[16]XREF!#REF!</definedName>
    <definedName name="XRefPaste1Row" hidden="1">[17]XREF!#REF!</definedName>
    <definedName name="XRefPaste25Row" hidden="1">[16]XREF!#REF!</definedName>
    <definedName name="XRefPaste26Row" hidden="1">[16]XREF!#REF!</definedName>
    <definedName name="XRefPaste27Row" hidden="1">[16]XREF!#REF!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RangeCount" hidden="1">11</definedName>
    <definedName name="Август">#REF!</definedName>
    <definedName name="август2002г">[14]Сентябрь!#REF!</definedName>
    <definedName name="Апрель">[13]Апрель!#REF!</definedName>
    <definedName name="апрель2000">[14]Квартал!#REF!</definedName>
    <definedName name="_xlnm.Database">#REF!</definedName>
    <definedName name="БЛРаздел1">[18]Форма2IVT!$C$19:$C$24,[18]Форма2IVT!$E$19:$F$24,[18]Форма2IVT!$D$26:$F$31,[18]Форма2IVT!$C$33:$C$38,[18]Форма2IVT!$E$33:$F$38,[18]Форма2IVT!$D$40:$F$43,[18]Форма2IVT!$C$45:$C$48,[18]Форма2IVT!$E$45:$F$48,[18]Форма2IVT!$C$19</definedName>
    <definedName name="БЛРаздел2">[18]Форма2IVT!$C$51:$C$58,[18]Форма2IVT!$E$51:$F$58,[18]Форма2IVT!$C$60:$C$62,[18]Форма2IVT!$E$60:$F$62,[18]Форма2IVT!$C$64:$C$66,[18]Форма2IVT!$E$64:$F$66,[18]Форма2IVT!$C$51</definedName>
    <definedName name="БЛРаздел3">[18]Форма2IVT!$C$69:$C$71,[18]Форма2IVT!$D$72:$F$72,[18]Форма2IVT!$E$69:$F$71,[18]Форма2IVT!$C$74:$C$76,[18]Форма2IVT!$E$74:$F$76,[18]Форма2IVT!$C$78:$C$81,[18]Форма2IVT!$E$78:$F$81,[18]Форма2IVT!$C$83:$C$85,[18]Форма2IVT!$E$83:$F$85,[18]Форма2IVT!$C$87:$C$88,[18]Форма2IVT!$E$87:$F$88,[18]Форма2IVT!$C$69</definedName>
    <definedName name="БЛРаздел4">[18]Форма2IVT!$E$106:$F$107,[18]Форма2IVT!$C$106:$C$107,[18]Форма2IVT!$E$102:$F$104,[18]Форма2IVT!$C$102:$C$104,[18]Форма2IVT!$C$97:$C$100,[18]Форма2IVT!$E$97:$F$100,[18]Форма2IVT!$E$92:$F$95,[18]Форма2IVT!$C$92:$C$95,[18]Форма2IVT!$C$92</definedName>
    <definedName name="БЛРаздел5">[18]Форма2IVT!$C$113:$C$114,[18]Форма2IVT!$D$110:$F$112,[18]Форма2IVT!$E$113:$F$114,[18]Форма2IVT!$D$115:$F$115,[18]Форма2IVT!$D$117:$F$119,[18]Форма2IVT!$D$121:$F$122,[18]Форма2IVT!$D$124:$F$126,[18]Форма2IVT!$D$110</definedName>
    <definedName name="БЛРаздел6">[18]Форма2IVT!$D$129:$F$132,[18]Форма2IVT!$D$134:$F$135,[18]Форма2IVT!$D$138:$F$141,[18]Форма2IVT!$D$148:$F$150,[18]Форма2IVT!$D$152:$F$153,[18]Форма2IVT!$D$155:$F$158,[18]Форма2IVT!$D$161:$F$167,[18]Форма2IVT!$D$129</definedName>
    <definedName name="БЛРаздел7">[18]Форма2IVT!$D$176:$F$182,[18]Форма2IVT!$D$172:$F$174,[18]Форма2IVT!$D$170:$F$170,[18]Форма2IVT!$D$170</definedName>
    <definedName name="БЛРаздел8">[18]Форма2IVT!$E$190:$F$201,[18]Форма2IVT!$C$190:$C$201,[18]Форма2IVT!$E$186:$F$188,[18]Форма2IVT!$C$186:$C$188,[18]Форма2IVT!$E$185:$F$185,[18]Форма2IVT!$C$185</definedName>
    <definedName name="БЛРаздел9">[18]Форма2IVT!#REF!,[18]Форма2IVT!#REF!,[18]Форма2IVT!$E$223:$F$230,[18]Форма2IVT!$C$223:$C$230,[18]Форма2IVT!$E$222:$F$222,[18]Форма2IVT!$C$222,[18]Форма2IVT!$E$216:$F$220,[18]Форма2IVT!$C$216:$C$220,[18]Форма2IVT!$E$205:$F$209,[18]Форма2IVT!$C$205:$C$209,[18]Форма2IVT!#REF!</definedName>
    <definedName name="БПДанные">#REF!,#REF!,#REF!</definedName>
    <definedName name="выпуск">[13]Январь!#REF!</definedName>
    <definedName name="грп">#REF!</definedName>
    <definedName name="дек02">[14]Сентябрь!#REF!</definedName>
    <definedName name="дек2002год">[13]Сентябрь!#REF!</definedName>
    <definedName name="Декабрь">[13]Декабрь!#REF!</definedName>
    <definedName name="декабрь2002">[13]Ноябрь!#REF!</definedName>
    <definedName name="за2002">[13]Январь!#REF!</definedName>
    <definedName name="за4мес">[13]Квартал!#REF!</definedName>
    <definedName name="зквартал">[14]Январь!#REF!</definedName>
    <definedName name="Июль">[13]Июль!#REF!</definedName>
    <definedName name="июль2002">[14]Декабрь!#REF!</definedName>
    <definedName name="Июнь">[13]Июнь!#REF!</definedName>
    <definedName name="Квартал1">[13]Квартал!#REF!</definedName>
    <definedName name="Квартал2">#REF!</definedName>
    <definedName name="Квартал3">#REF!</definedName>
    <definedName name="Квартал4">#REF!</definedName>
    <definedName name="лддлд">#REF!</definedName>
    <definedName name="Май">#REF!</definedName>
    <definedName name="Макрос1">[0]!Макрос1</definedName>
    <definedName name="Март">[13]Март!#REF!</definedName>
    <definedName name="март02г">[13]Январь!#REF!</definedName>
    <definedName name="март2002">[13]Июль!#REF!</definedName>
    <definedName name="мрп">[19]справка!$A$4:$B$15</definedName>
    <definedName name="Ноябрь">[13]Ноябрь!#REF!</definedName>
    <definedName name="_xlnm.Print_Area">#REF!</definedName>
    <definedName name="окт">[13]Март!#REF!</definedName>
    <definedName name="Октябрь">#REF!</definedName>
    <definedName name="октябрь2002">[13]Январь!#REF!</definedName>
    <definedName name="октябрьуслуги">[13]Сентябрь!#REF!</definedName>
    <definedName name="сент">[13]Июнь!#REF!</definedName>
    <definedName name="сент2002">[14]Январь!#REF!</definedName>
    <definedName name="Сентябрь">[13]Сентябрь!#REF!</definedName>
    <definedName name="сентябрь2000год">[14]Март!#REF!</definedName>
    <definedName name="счет221">[13]Март!#REF!</definedName>
    <definedName name="тов6м">[13]Июль!#REF!</definedName>
    <definedName name="усл">[13]Сентябрь!#REF!</definedName>
    <definedName name="усл2002">[13]Январь!#REF!</definedName>
    <definedName name="услуги">[13]Сентябрь!#REF!</definedName>
    <definedName name="фев02г">[14]Ноябрь!#REF!</definedName>
    <definedName name="февр">[13]Июнь!#REF!</definedName>
    <definedName name="Февраль">#REF!</definedName>
    <definedName name="Январь">[13]Январь!#REF!</definedName>
    <definedName name="январь2002">[14]Ноябрь!#REF!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45621"/>
</workbook>
</file>

<file path=xl/calcChain.xml><?xml version="1.0" encoding="utf-8"?>
<calcChain xmlns="http://schemas.openxmlformats.org/spreadsheetml/2006/main">
  <c r="C25" i="79" l="1"/>
  <c r="I12" i="17" l="1"/>
  <c r="I11" i="17"/>
  <c r="I10" i="17"/>
  <c r="B23" i="58"/>
  <c r="D34" i="1"/>
  <c r="D33" i="1"/>
  <c r="G20" i="35" l="1"/>
  <c r="E20" i="35"/>
  <c r="G8" i="35"/>
  <c r="E8" i="35"/>
  <c r="E31" i="79" l="1"/>
  <c r="E29" i="79"/>
  <c r="E28" i="79"/>
  <c r="B57" i="58"/>
  <c r="D23" i="58"/>
  <c r="F12" i="56" l="1"/>
  <c r="D12" i="56"/>
  <c r="E13" i="47"/>
  <c r="G13" i="47"/>
  <c r="H24" i="49"/>
  <c r="H25" i="49" s="1"/>
  <c r="F23" i="49"/>
  <c r="F24" i="49" s="1"/>
  <c r="F25" i="49" s="1"/>
  <c r="H10" i="49"/>
  <c r="H11" i="49" s="1"/>
  <c r="F10" i="49"/>
  <c r="F11" i="49" s="1"/>
  <c r="F9" i="65"/>
  <c r="F8" i="65"/>
  <c r="D66" i="48"/>
  <c r="F62" i="48"/>
  <c r="F63" i="48" s="1"/>
  <c r="D49" i="48"/>
  <c r="D50" i="48" s="1"/>
  <c r="H47" i="48"/>
  <c r="E44" i="48"/>
  <c r="G27" i="47"/>
  <c r="E27" i="47"/>
  <c r="G26" i="47"/>
  <c r="E26" i="47"/>
  <c r="G12" i="47"/>
  <c r="E12" i="47"/>
  <c r="D21" i="46"/>
  <c r="D11" i="56"/>
  <c r="F10" i="41"/>
  <c r="D10" i="41"/>
  <c r="F9" i="41"/>
  <c r="D22" i="46" l="1"/>
  <c r="D8" i="65"/>
  <c r="D9" i="65" s="1"/>
  <c r="D62" i="48"/>
  <c r="D63" i="48" s="1"/>
  <c r="H12" i="38"/>
  <c r="F12" i="38"/>
  <c r="F8" i="40"/>
  <c r="D8" i="40"/>
  <c r="F11" i="60"/>
  <c r="F10" i="60"/>
  <c r="D11" i="60"/>
  <c r="D10" i="60"/>
  <c r="E7" i="37"/>
  <c r="D11" i="37"/>
  <c r="D7" i="37"/>
  <c r="D10" i="37" s="1"/>
  <c r="H11" i="34"/>
  <c r="G11" i="34"/>
  <c r="G16" i="34" s="1"/>
  <c r="H14" i="34"/>
  <c r="G14" i="34"/>
  <c r="H15" i="34"/>
  <c r="G15" i="34"/>
  <c r="E8" i="64"/>
  <c r="G8" i="64"/>
  <c r="F11" i="29"/>
  <c r="D11" i="29"/>
  <c r="F11" i="28"/>
  <c r="D11" i="28"/>
  <c r="G15" i="27"/>
  <c r="E15" i="27"/>
  <c r="F18" i="16"/>
  <c r="I11" i="18"/>
  <c r="F10" i="21"/>
  <c r="D10" i="21"/>
  <c r="G12" i="18"/>
  <c r="G11" i="18"/>
  <c r="G8" i="18"/>
  <c r="F19" i="16"/>
  <c r="S11" i="77"/>
  <c r="Q15" i="77"/>
  <c r="O15" i="77"/>
  <c r="M15" i="77"/>
  <c r="K15" i="77"/>
  <c r="I15" i="77"/>
  <c r="F10" i="44"/>
  <c r="E18" i="79"/>
  <c r="D49" i="1"/>
  <c r="D19" i="1"/>
  <c r="B50" i="58"/>
  <c r="H16" i="34" l="1"/>
  <c r="D57" i="58"/>
  <c r="D50" i="58" l="1"/>
  <c r="D35" i="58"/>
  <c r="D41" i="58" s="1"/>
  <c r="S7" i="77" l="1"/>
  <c r="S15" i="77" s="1"/>
  <c r="T15" i="77" s="1"/>
  <c r="S5" i="77"/>
  <c r="S10" i="77"/>
  <c r="S14" i="77" l="1"/>
  <c r="T14" i="77" s="1"/>
  <c r="E10" i="79"/>
  <c r="E22" i="79" s="1"/>
  <c r="E25" i="79" s="1"/>
  <c r="C10" i="79"/>
  <c r="C18" i="79" l="1"/>
  <c r="C22" i="79" s="1"/>
  <c r="F10" i="29"/>
  <c r="D10" i="29"/>
  <c r="C28" i="79" l="1"/>
  <c r="C29" i="79" s="1"/>
  <c r="C31" i="79"/>
  <c r="F17" i="44"/>
  <c r="F11" i="56"/>
  <c r="G15" i="45" l="1"/>
  <c r="G18" i="45" s="1"/>
  <c r="G19" i="45" s="1"/>
  <c r="E11" i="27" l="1"/>
  <c r="E14" i="27" s="1"/>
  <c r="F7" i="38" l="1"/>
  <c r="E11" i="36" l="1"/>
  <c r="F24" i="36"/>
  <c r="E25" i="36"/>
  <c r="G25" i="36" s="1"/>
  <c r="E24" i="36"/>
  <c r="G24" i="36" l="1"/>
  <c r="G15" i="77"/>
  <c r="E15" i="77"/>
  <c r="E14" i="77"/>
  <c r="G14" i="77"/>
  <c r="K14" i="77"/>
  <c r="M14" i="77"/>
  <c r="O14" i="77"/>
  <c r="Q14" i="77"/>
  <c r="I14" i="77"/>
  <c r="E15" i="45" l="1"/>
  <c r="E18" i="45" s="1"/>
  <c r="E19" i="45" s="1"/>
  <c r="E19" i="35" l="1"/>
  <c r="D9" i="41" l="1"/>
  <c r="G11" i="27" l="1"/>
  <c r="H8" i="22" l="1"/>
  <c r="H9" i="22" s="1"/>
  <c r="F9" i="21" l="1"/>
  <c r="I21" i="17"/>
  <c r="I20" i="17"/>
  <c r="I16" i="17" l="1"/>
  <c r="I25" i="17"/>
  <c r="G7" i="64" l="1"/>
  <c r="D17" i="16" l="1"/>
  <c r="I29" i="11" l="1"/>
  <c r="G73" i="5" l="1"/>
  <c r="CO50" i="5"/>
  <c r="CO36" i="5" s="1"/>
  <c r="CN50" i="5"/>
  <c r="CN36" i="5" s="1"/>
  <c r="CM50" i="5"/>
  <c r="CM36" i="5" s="1"/>
  <c r="CL50" i="5"/>
  <c r="CL36" i="5" s="1"/>
  <c r="CK50" i="5"/>
  <c r="CK36" i="5" s="1"/>
  <c r="CI40" i="5"/>
  <c r="CI36" i="5" s="1"/>
  <c r="CH40" i="5"/>
  <c r="CH36" i="5" s="1"/>
  <c r="CE40" i="5"/>
  <c r="CE36" i="5" s="1"/>
  <c r="CD40" i="5"/>
  <c r="CD36" i="5" s="1"/>
  <c r="CB40" i="5"/>
  <c r="CB36" i="5" s="1"/>
  <c r="CA40" i="5"/>
  <c r="CA36" i="5" s="1"/>
  <c r="BZ40" i="5"/>
  <c r="BZ36" i="5" s="1"/>
  <c r="BY40" i="5"/>
  <c r="BY36" i="5" s="1"/>
  <c r="BX40" i="5"/>
  <c r="BX36" i="5" s="1"/>
  <c r="BW40" i="5"/>
  <c r="BU40" i="5"/>
  <c r="BU36" i="5" s="1"/>
  <c r="BU61" i="5" s="1"/>
  <c r="BT40" i="5"/>
  <c r="BT50" i="5" s="1"/>
  <c r="BR40" i="5"/>
  <c r="BQ40" i="5"/>
  <c r="BQ36" i="5" s="1"/>
  <c r="BQ61" i="5" s="1"/>
  <c r="BP40" i="5"/>
  <c r="BO40" i="5"/>
  <c r="BN40" i="5"/>
  <c r="BN50" i="5" s="1"/>
  <c r="BM36" i="5"/>
  <c r="BM50" i="5"/>
  <c r="BM40" i="5"/>
  <c r="BL40" i="5"/>
  <c r="BL50" i="5" s="1"/>
  <c r="BK40" i="5"/>
  <c r="BK50" i="5" s="1"/>
  <c r="BJ40" i="5"/>
  <c r="BJ50" i="5" s="1"/>
  <c r="BI36" i="5"/>
  <c r="BI50" i="5"/>
  <c r="BI40" i="5"/>
  <c r="BF56" i="5"/>
  <c r="BF36" i="5" s="1"/>
  <c r="BF61" i="5" s="1"/>
  <c r="BE36" i="5"/>
  <c r="BE53" i="5"/>
  <c r="BE52" i="5"/>
  <c r="BC36" i="5"/>
  <c r="BB51" i="5"/>
  <c r="BB36" i="5" s="1"/>
  <c r="BA51" i="5"/>
  <c r="BA36" i="5"/>
  <c r="AZ51" i="5"/>
  <c r="AX36" i="5"/>
  <c r="AX45" i="5"/>
  <c r="AW43" i="5"/>
  <c r="AW55" i="5" s="1"/>
  <c r="AV43" i="5"/>
  <c r="AV36" i="5" s="1"/>
  <c r="AV61" i="5" s="1"/>
  <c r="AU42" i="5"/>
  <c r="CP42" i="5" s="1"/>
  <c r="AT41" i="5"/>
  <c r="AS41" i="5"/>
  <c r="AS51" i="5" s="1"/>
  <c r="AR22" i="5"/>
  <c r="AR36" i="5"/>
  <c r="AP36" i="5"/>
  <c r="AP53" i="5"/>
  <c r="AP22" i="5"/>
  <c r="AO52" i="5"/>
  <c r="AO22" i="5"/>
  <c r="AN22" i="5"/>
  <c r="AN52" i="5" s="1"/>
  <c r="AN61" i="5" s="1"/>
  <c r="AM53" i="5"/>
  <c r="AM36" i="5"/>
  <c r="AM22" i="5"/>
  <c r="AL36" i="5"/>
  <c r="AL22" i="5"/>
  <c r="AK54" i="5"/>
  <c r="CP54" i="5" s="1"/>
  <c r="AK36" i="5"/>
  <c r="AK20" i="5"/>
  <c r="CP20" i="5" s="1"/>
  <c r="AJ19" i="5"/>
  <c r="AJ36" i="5" s="1"/>
  <c r="AJ61" i="5" s="1"/>
  <c r="AI36" i="5"/>
  <c r="AI19" i="5"/>
  <c r="AH36" i="5"/>
  <c r="AH19" i="5"/>
  <c r="AF36" i="5"/>
  <c r="AF14" i="5"/>
  <c r="AD36" i="5"/>
  <c r="AD13" i="5"/>
  <c r="AC36" i="5"/>
  <c r="AA41" i="5"/>
  <c r="AA5" i="5"/>
  <c r="Z36" i="5"/>
  <c r="Z19" i="5"/>
  <c r="Z5" i="5"/>
  <c r="Y36" i="5"/>
  <c r="Y5" i="5"/>
  <c r="X45" i="5"/>
  <c r="X5" i="5"/>
  <c r="W36" i="5"/>
  <c r="W5" i="5"/>
  <c r="V36" i="5"/>
  <c r="V5" i="5"/>
  <c r="U36" i="5"/>
  <c r="U5" i="5"/>
  <c r="T36" i="5"/>
  <c r="T19" i="5"/>
  <c r="S36" i="5"/>
  <c r="S19" i="5"/>
  <c r="R36" i="5"/>
  <c r="R5" i="5"/>
  <c r="Q24" i="5"/>
  <c r="P5" i="5"/>
  <c r="CP44" i="5"/>
  <c r="CP35" i="5"/>
  <c r="CP34" i="5"/>
  <c r="CP29" i="5"/>
  <c r="CP26" i="5"/>
  <c r="CP25" i="5"/>
  <c r="CP23" i="5"/>
  <c r="CP21" i="5"/>
  <c r="CP15" i="5"/>
  <c r="CP12" i="5"/>
  <c r="CP11" i="5"/>
  <c r="CP9" i="5"/>
  <c r="CP8" i="5"/>
  <c r="CP7" i="5"/>
  <c r="N5" i="5"/>
  <c r="N6" i="5" s="1"/>
  <c r="N61" i="5" s="1"/>
  <c r="M36" i="5"/>
  <c r="M5" i="5"/>
  <c r="L36" i="5"/>
  <c r="L19" i="5"/>
  <c r="L5" i="5"/>
  <c r="K36" i="5"/>
  <c r="K19" i="5"/>
  <c r="G54" i="5"/>
  <c r="G44" i="5"/>
  <c r="CU44" i="5" s="1"/>
  <c r="G42" i="5"/>
  <c r="G12" i="5"/>
  <c r="CU12" i="5" s="1"/>
  <c r="G11" i="5"/>
  <c r="G6" i="5"/>
  <c r="E54" i="5"/>
  <c r="J54" i="5" s="1"/>
  <c r="E44" i="5"/>
  <c r="J44" i="5" s="1"/>
  <c r="CQ44" i="5" s="1"/>
  <c r="E42" i="5"/>
  <c r="J42" i="5" s="1"/>
  <c r="E12" i="5"/>
  <c r="J12" i="5" s="1"/>
  <c r="CQ12" i="5" s="1"/>
  <c r="E11" i="5"/>
  <c r="J11" i="5" s="1"/>
  <c r="E6" i="5"/>
  <c r="J6" i="5" s="1"/>
  <c r="E36" i="5"/>
  <c r="J36" i="5" s="1"/>
  <c r="E35" i="5"/>
  <c r="J35" i="5" s="1"/>
  <c r="E34" i="5"/>
  <c r="J34" i="5" s="1"/>
  <c r="CQ34" i="5" s="1"/>
  <c r="E46" i="5"/>
  <c r="J46" i="5" s="1"/>
  <c r="E45" i="5"/>
  <c r="J45" i="5" s="1"/>
  <c r="E41" i="5"/>
  <c r="J41" i="5" s="1"/>
  <c r="E52" i="5"/>
  <c r="J52" i="5" s="1"/>
  <c r="E56" i="5"/>
  <c r="J56" i="5" s="1"/>
  <c r="E10" i="5"/>
  <c r="J10" i="5" s="1"/>
  <c r="E8" i="5"/>
  <c r="J8" i="5" s="1"/>
  <c r="CQ8" i="5" s="1"/>
  <c r="E15" i="5"/>
  <c r="J15" i="5" s="1"/>
  <c r="E29" i="5"/>
  <c r="J29" i="5" s="1"/>
  <c r="E21" i="5"/>
  <c r="J21" i="5" s="1"/>
  <c r="E20" i="5"/>
  <c r="J20" i="5" s="1"/>
  <c r="E14" i="5"/>
  <c r="J14" i="5" s="1"/>
  <c r="I57" i="5"/>
  <c r="I47" i="5"/>
  <c r="I37" i="5"/>
  <c r="I27" i="5"/>
  <c r="I16" i="5"/>
  <c r="E43" i="5" l="1"/>
  <c r="J43" i="5" s="1"/>
  <c r="CU11" i="5"/>
  <c r="E24" i="5"/>
  <c r="J24" i="5" s="1"/>
  <c r="CU42" i="5"/>
  <c r="E22" i="5"/>
  <c r="J22" i="5" s="1"/>
  <c r="E13" i="5"/>
  <c r="J13" i="5" s="1"/>
  <c r="CU54" i="5"/>
  <c r="E9" i="5"/>
  <c r="J9" i="5" s="1"/>
  <c r="CQ9" i="5" s="1"/>
  <c r="E50" i="5"/>
  <c r="J50" i="5" s="1"/>
  <c r="E40" i="5"/>
  <c r="J40" i="5" s="1"/>
  <c r="E5" i="5"/>
  <c r="J5" i="5" s="1"/>
  <c r="E55" i="5"/>
  <c r="J55" i="5" s="1"/>
  <c r="E7" i="5"/>
  <c r="J7" i="5" s="1"/>
  <c r="CQ7" i="5" s="1"/>
  <c r="G53" i="5"/>
  <c r="E53" i="5"/>
  <c r="J53" i="5" s="1"/>
  <c r="E23" i="5"/>
  <c r="J23" i="5" s="1"/>
  <c r="CQ23" i="5" s="1"/>
  <c r="G15" i="5"/>
  <c r="CU15" i="5" s="1"/>
  <c r="G36" i="5"/>
  <c r="G10" i="5"/>
  <c r="G55" i="5"/>
  <c r="G41" i="5"/>
  <c r="G46" i="5"/>
  <c r="G20" i="5"/>
  <c r="CU20" i="5" s="1"/>
  <c r="G29" i="5"/>
  <c r="CU29" i="5" s="1"/>
  <c r="G14" i="5"/>
  <c r="G21" i="5"/>
  <c r="CU21" i="5" s="1"/>
  <c r="G45" i="5"/>
  <c r="G34" i="5"/>
  <c r="CU34" i="5" s="1"/>
  <c r="G8" i="5"/>
  <c r="CU8" i="5" s="1"/>
  <c r="G56" i="5"/>
  <c r="G35" i="5"/>
  <c r="CU35" i="5" s="1"/>
  <c r="G52" i="5"/>
  <c r="E51" i="5"/>
  <c r="J51" i="5" s="1"/>
  <c r="G19" i="5"/>
  <c r="G23" i="5"/>
  <c r="CU23" i="5" s="1"/>
  <c r="G7" i="5"/>
  <c r="CU7" i="5" s="1"/>
  <c r="G50" i="5"/>
  <c r="G13" i="5"/>
  <c r="E25" i="5"/>
  <c r="J25" i="5" s="1"/>
  <c r="CQ25" i="5" s="1"/>
  <c r="G43" i="5"/>
  <c r="G5" i="5"/>
  <c r="G40" i="5"/>
  <c r="G22" i="5"/>
  <c r="G9" i="5"/>
  <c r="CU9" i="5" s="1"/>
  <c r="G24" i="5"/>
  <c r="G51" i="5"/>
  <c r="E26" i="5"/>
  <c r="J26" i="5" s="1"/>
  <c r="CQ26" i="5" s="1"/>
  <c r="E19" i="5"/>
  <c r="J19" i="5" s="1"/>
  <c r="G26" i="5"/>
  <c r="CU26" i="5" s="1"/>
  <c r="G25" i="5"/>
  <c r="CU25" i="5" s="1"/>
  <c r="I31" i="5"/>
  <c r="I59" i="5"/>
  <c r="I60" i="5" s="1"/>
  <c r="BW36" i="5"/>
  <c r="BW61" i="5" s="1"/>
  <c r="BR50" i="5"/>
  <c r="BR61" i="5" s="1"/>
  <c r="BT61" i="5"/>
  <c r="BM61" i="5"/>
  <c r="BL61" i="5"/>
  <c r="BN61" i="5"/>
  <c r="BJ61" i="5"/>
  <c r="BK61" i="5"/>
  <c r="BO50" i="5"/>
  <c r="BP50" i="5"/>
  <c r="BP61" i="5" s="1"/>
  <c r="BI61" i="5"/>
  <c r="BA61" i="5"/>
  <c r="AX61" i="5"/>
  <c r="CP45" i="5"/>
  <c r="CQ45" i="5" s="1"/>
  <c r="CP55" i="5"/>
  <c r="CQ55" i="5" s="1"/>
  <c r="AW61" i="5"/>
  <c r="CP43" i="5"/>
  <c r="AZ36" i="5"/>
  <c r="AZ61" i="5" s="1"/>
  <c r="BE61" i="5"/>
  <c r="BB61" i="5"/>
  <c r="AR61" i="5"/>
  <c r="AL61" i="5"/>
  <c r="AS61" i="5"/>
  <c r="CP41" i="5"/>
  <c r="CQ41" i="5" s="1"/>
  <c r="AF61" i="5"/>
  <c r="AT51" i="5"/>
  <c r="AT61" i="5" s="1"/>
  <c r="AU52" i="5"/>
  <c r="AH61" i="5"/>
  <c r="AI61" i="5"/>
  <c r="CP53" i="5"/>
  <c r="AO61" i="5"/>
  <c r="AM61" i="5"/>
  <c r="AA61" i="5"/>
  <c r="AK61" i="5"/>
  <c r="CQ54" i="5"/>
  <c r="CP24" i="5"/>
  <c r="AD61" i="5"/>
  <c r="X61" i="5"/>
  <c r="Z61" i="5"/>
  <c r="V61" i="5"/>
  <c r="Y61" i="5"/>
  <c r="W61" i="5"/>
  <c r="U61" i="5"/>
  <c r="CP6" i="5"/>
  <c r="CQ6" i="5" s="1"/>
  <c r="R61" i="5"/>
  <c r="CQ15" i="5"/>
  <c r="CQ29" i="5"/>
  <c r="CQ42" i="5"/>
  <c r="CQ20" i="5"/>
  <c r="CQ21" i="5"/>
  <c r="CQ11" i="5"/>
  <c r="CQ35" i="5"/>
  <c r="M61" i="5"/>
  <c r="L61" i="5"/>
  <c r="E37" i="5"/>
  <c r="CQ43" i="5" l="1"/>
  <c r="CQ53" i="5"/>
  <c r="E47" i="5"/>
  <c r="CQ24" i="5"/>
  <c r="E16" i="5"/>
  <c r="E57" i="5"/>
  <c r="I61" i="5"/>
  <c r="G57" i="5"/>
  <c r="E13" i="16"/>
  <c r="G37" i="5"/>
  <c r="G47" i="5"/>
  <c r="G16" i="5"/>
  <c r="J61" i="5"/>
  <c r="G27" i="5"/>
  <c r="E27" i="5"/>
  <c r="CU24" i="5"/>
  <c r="CU45" i="5"/>
  <c r="CU53" i="5"/>
  <c r="CU6" i="5"/>
  <c r="CU55" i="5"/>
  <c r="CU41" i="5"/>
  <c r="CU43" i="5"/>
  <c r="BO61" i="5"/>
  <c r="AU61" i="5"/>
  <c r="E59" i="5" l="1"/>
  <c r="E60" i="5" s="1"/>
  <c r="E31" i="5"/>
  <c r="G59" i="5"/>
  <c r="G60" i="5" s="1"/>
  <c r="G31" i="5"/>
  <c r="E61" i="5" l="1"/>
  <c r="G61" i="5"/>
  <c r="CZ73" i="5"/>
  <c r="CZ72" i="5"/>
  <c r="DN33" i="5"/>
  <c r="DK8" i="5"/>
  <c r="DK7" i="5"/>
  <c r="DK6" i="5"/>
  <c r="DJ44" i="5"/>
  <c r="DK44" i="5" s="1"/>
  <c r="DI61" i="5"/>
  <c r="DH50" i="5"/>
  <c r="DH36" i="5" s="1"/>
  <c r="DH61" i="5" s="1"/>
  <c r="DG50" i="5"/>
  <c r="DG40" i="5"/>
  <c r="DK40" i="5" s="1"/>
  <c r="DF26" i="5"/>
  <c r="DF36" i="5" s="1"/>
  <c r="DF61" i="5" s="1"/>
  <c r="DK56" i="5"/>
  <c r="DK55" i="5"/>
  <c r="DK54" i="5"/>
  <c r="DK53" i="5"/>
  <c r="DK52" i="5"/>
  <c r="DK51" i="5"/>
  <c r="DK46" i="5"/>
  <c r="DK43" i="5"/>
  <c r="DK42" i="5"/>
  <c r="DK41" i="5"/>
  <c r="DK35" i="5"/>
  <c r="DK34" i="5"/>
  <c r="DK29" i="5"/>
  <c r="DL29" i="5" s="1"/>
  <c r="DK25" i="5"/>
  <c r="DK24" i="5"/>
  <c r="DK23" i="5"/>
  <c r="DK22" i="5"/>
  <c r="DK21" i="5"/>
  <c r="DK20" i="5"/>
  <c r="DK19" i="5"/>
  <c r="DK15" i="5"/>
  <c r="DK14" i="5"/>
  <c r="DK13" i="5"/>
  <c r="DK12" i="5"/>
  <c r="DN12" i="5" s="1"/>
  <c r="DK11" i="5"/>
  <c r="DK10" i="5"/>
  <c r="DK9" i="5"/>
  <c r="DD5" i="5"/>
  <c r="DK5" i="5" s="1"/>
  <c r="DB57" i="5"/>
  <c r="DB47" i="5"/>
  <c r="DB37" i="5"/>
  <c r="DB27" i="5"/>
  <c r="DB16" i="5"/>
  <c r="DB59" i="5" l="1"/>
  <c r="DB31" i="5"/>
  <c r="DB60" i="5"/>
  <c r="DJ36" i="5"/>
  <c r="DJ61" i="5" s="1"/>
  <c r="DK50" i="5"/>
  <c r="DD45" i="5"/>
  <c r="DD61" i="5" s="1"/>
  <c r="DG36" i="5"/>
  <c r="DG61" i="5" s="1"/>
  <c r="DK45" i="5" l="1"/>
  <c r="CZ56" i="5" l="1"/>
  <c r="DN56" i="5" s="1"/>
  <c r="CX56" i="5"/>
  <c r="DC56" i="5" s="1"/>
  <c r="DL56" i="5" s="1"/>
  <c r="CZ55" i="5"/>
  <c r="DN55" i="5" s="1"/>
  <c r="CX55" i="5"/>
  <c r="DC55" i="5" s="1"/>
  <c r="DL55" i="5" s="1"/>
  <c r="CZ54" i="5"/>
  <c r="DN54" i="5" s="1"/>
  <c r="CX54" i="5"/>
  <c r="DC54" i="5" s="1"/>
  <c r="DL54" i="5" s="1"/>
  <c r="CZ46" i="5"/>
  <c r="DN46" i="5" s="1"/>
  <c r="CX46" i="5"/>
  <c r="DC46" i="5" s="1"/>
  <c r="DL46" i="5" s="1"/>
  <c r="CZ43" i="5"/>
  <c r="DN43" i="5" s="1"/>
  <c r="CX43" i="5"/>
  <c r="DC43" i="5" s="1"/>
  <c r="DL43" i="5" s="1"/>
  <c r="CZ42" i="5"/>
  <c r="DN42" i="5" s="1"/>
  <c r="CX42" i="5"/>
  <c r="DC42" i="5" s="1"/>
  <c r="DL42" i="5" s="1"/>
  <c r="CZ41" i="5"/>
  <c r="DN41" i="5" s="1"/>
  <c r="CX41" i="5"/>
  <c r="DC41" i="5" s="1"/>
  <c r="DL41" i="5" s="1"/>
  <c r="CZ35" i="5"/>
  <c r="DN35" i="5" s="1"/>
  <c r="CX35" i="5"/>
  <c r="DC35" i="5" s="1"/>
  <c r="DL35" i="5" s="1"/>
  <c r="CZ29" i="5"/>
  <c r="DN29" i="5" s="1"/>
  <c r="CX29" i="5"/>
  <c r="CZ15" i="5"/>
  <c r="DN15" i="5" s="1"/>
  <c r="CZ10" i="5"/>
  <c r="DN10" i="5" s="1"/>
  <c r="CZ8" i="5"/>
  <c r="DN8" i="5" s="1"/>
  <c r="CZ7" i="5"/>
  <c r="DN7" i="5" s="1"/>
  <c r="CZ6" i="5"/>
  <c r="DN6" i="5" s="1"/>
  <c r="CX15" i="5"/>
  <c r="DC15" i="5" s="1"/>
  <c r="DL15" i="5" s="1"/>
  <c r="CX10" i="5"/>
  <c r="DC10" i="5" s="1"/>
  <c r="DL10" i="5" s="1"/>
  <c r="CX8" i="5"/>
  <c r="DC8" i="5" s="1"/>
  <c r="DL8" i="5" s="1"/>
  <c r="CX7" i="5"/>
  <c r="DC7" i="5" s="1"/>
  <c r="DL7" i="5" s="1"/>
  <c r="CX6" i="5"/>
  <c r="DC6" i="5" s="1"/>
  <c r="DL6" i="5" s="1"/>
  <c r="I78" i="6" l="1"/>
  <c r="CX52" i="5"/>
  <c r="DC52" i="5" s="1"/>
  <c r="DL52" i="5" s="1"/>
  <c r="CX5" i="5"/>
  <c r="DC5" i="5" s="1"/>
  <c r="DL5" i="5" s="1"/>
  <c r="CZ52" i="5" l="1"/>
  <c r="DN52" i="5" s="1"/>
  <c r="CZ53" i="5"/>
  <c r="DN53" i="5" s="1"/>
  <c r="CX53" i="5"/>
  <c r="DC53" i="5" s="1"/>
  <c r="DL53" i="5" s="1"/>
  <c r="CX22" i="5"/>
  <c r="DC22" i="5" s="1"/>
  <c r="DL22" i="5" s="1"/>
  <c r="CX23" i="5"/>
  <c r="DC23" i="5" s="1"/>
  <c r="DL23" i="5" s="1"/>
  <c r="CX26" i="5"/>
  <c r="DC26" i="5" s="1"/>
  <c r="CZ9" i="5"/>
  <c r="DN9" i="5" s="1"/>
  <c r="CZ36" i="5"/>
  <c r="CZ19" i="5"/>
  <c r="DN19" i="5" s="1"/>
  <c r="CZ20" i="5"/>
  <c r="DN20" i="5" s="1"/>
  <c r="CZ45" i="5"/>
  <c r="DN45" i="5" s="1"/>
  <c r="CX21" i="5"/>
  <c r="DC21" i="5" s="1"/>
  <c r="DL21" i="5" s="1"/>
  <c r="CX13" i="5"/>
  <c r="DC13" i="5" s="1"/>
  <c r="DL13" i="5" s="1"/>
  <c r="CX44" i="5"/>
  <c r="DC44" i="5" s="1"/>
  <c r="DL44" i="5" s="1"/>
  <c r="CZ14" i="5"/>
  <c r="DN14" i="5" s="1"/>
  <c r="CZ21" i="5"/>
  <c r="DN21" i="5" s="1"/>
  <c r="CZ13" i="5"/>
  <c r="DN13" i="5" s="1"/>
  <c r="CX25" i="5"/>
  <c r="DC25" i="5" s="1"/>
  <c r="DL25" i="5" s="1"/>
  <c r="CX12" i="5"/>
  <c r="DC12" i="5" s="1"/>
  <c r="DL12" i="5" s="1"/>
  <c r="CX11" i="5"/>
  <c r="DC11" i="5" s="1"/>
  <c r="DL11" i="5" s="1"/>
  <c r="CX50" i="5"/>
  <c r="DC50" i="5" s="1"/>
  <c r="DL50" i="5" s="1"/>
  <c r="CX40" i="5"/>
  <c r="DC40" i="5" s="1"/>
  <c r="DL40" i="5" s="1"/>
  <c r="CX34" i="5"/>
  <c r="DC34" i="5" s="1"/>
  <c r="DL34" i="5" s="1"/>
  <c r="CZ11" i="5"/>
  <c r="DN11" i="5" s="1"/>
  <c r="CZ50" i="5"/>
  <c r="DN50" i="5" s="1"/>
  <c r="CZ40" i="5"/>
  <c r="DN40" i="5" s="1"/>
  <c r="CZ34" i="5"/>
  <c r="DN34" i="5" s="1"/>
  <c r="CX9" i="5"/>
  <c r="DC9" i="5" s="1"/>
  <c r="DL9" i="5" s="1"/>
  <c r="CZ26" i="5"/>
  <c r="CZ22" i="5"/>
  <c r="DN22" i="5" s="1"/>
  <c r="CZ23" i="5"/>
  <c r="DN23" i="5" s="1"/>
  <c r="CX19" i="5"/>
  <c r="CX20" i="5"/>
  <c r="DC20" i="5" s="1"/>
  <c r="DL20" i="5" s="1"/>
  <c r="CX24" i="5"/>
  <c r="DC24" i="5" s="1"/>
  <c r="DL24" i="5" s="1"/>
  <c r="CX51" i="5"/>
  <c r="DC51" i="5" s="1"/>
  <c r="DL51" i="5" s="1"/>
  <c r="CX45" i="5"/>
  <c r="DC45" i="5" s="1"/>
  <c r="DL45" i="5" s="1"/>
  <c r="CZ25" i="5"/>
  <c r="DN25" i="5" s="1"/>
  <c r="CZ24" i="5"/>
  <c r="DN24" i="5" s="1"/>
  <c r="CX36" i="5"/>
  <c r="CZ51" i="5"/>
  <c r="DN51" i="5" s="1"/>
  <c r="CX14" i="5"/>
  <c r="DC14" i="5" s="1"/>
  <c r="DL14" i="5" s="1"/>
  <c r="CZ5" i="5"/>
  <c r="CZ44" i="5"/>
  <c r="DN44" i="5" s="1"/>
  <c r="G80" i="5" l="1"/>
  <c r="CZ65" i="5"/>
  <c r="G72" i="5"/>
  <c r="CZ69" i="5"/>
  <c r="G64" i="5"/>
  <c r="G77" i="5"/>
  <c r="CZ64" i="5"/>
  <c r="CZ68" i="5"/>
  <c r="CZ80" i="5"/>
  <c r="CZ76" i="5"/>
  <c r="CZ77" i="5"/>
  <c r="G65" i="5"/>
  <c r="G71" i="5"/>
  <c r="CZ70" i="5"/>
  <c r="CZ71" i="5"/>
  <c r="G70" i="5"/>
  <c r="G68" i="5"/>
  <c r="CZ75" i="5"/>
  <c r="G69" i="5"/>
  <c r="G75" i="5"/>
  <c r="G76" i="5"/>
  <c r="DN5" i="5"/>
  <c r="DN16" i="5" s="1"/>
  <c r="DC36" i="5"/>
  <c r="DN47" i="5"/>
  <c r="DN57" i="5"/>
  <c r="DL16" i="5"/>
  <c r="CX27" i="5"/>
  <c r="DC19" i="5"/>
  <c r="DL19" i="5" s="1"/>
  <c r="CX16" i="5"/>
  <c r="CZ16" i="5"/>
  <c r="CZ57" i="5"/>
  <c r="CX37" i="5"/>
  <c r="CZ27" i="5"/>
  <c r="CZ37" i="5"/>
  <c r="CZ47" i="5"/>
  <c r="CX47" i="5"/>
  <c r="CX57" i="5"/>
  <c r="BD51" i="5"/>
  <c r="BD36" i="5" s="1"/>
  <c r="BD61" i="5" s="1"/>
  <c r="AG61" i="5"/>
  <c r="DE26" i="5"/>
  <c r="CZ66" i="5" l="1"/>
  <c r="CZ74" i="5" s="1"/>
  <c r="CZ78" i="5" s="1"/>
  <c r="CZ81" i="5" s="1"/>
  <c r="G66" i="5"/>
  <c r="G74" i="5" s="1"/>
  <c r="G78" i="5" s="1"/>
  <c r="G81" i="5" s="1"/>
  <c r="DE36" i="5"/>
  <c r="DK36" i="5" s="1"/>
  <c r="DN36" i="5" s="1"/>
  <c r="DN37" i="5" s="1"/>
  <c r="DK26" i="5"/>
  <c r="AE36" i="5"/>
  <c r="AE14" i="5"/>
  <c r="DN59" i="5"/>
  <c r="DC61" i="5"/>
  <c r="CX59" i="5"/>
  <c r="CX60" i="5" s="1"/>
  <c r="CX31" i="5"/>
  <c r="CZ31" i="5"/>
  <c r="CZ59" i="5"/>
  <c r="CZ60" i="5" s="1"/>
  <c r="DN60" i="5" l="1"/>
  <c r="DL36" i="5"/>
  <c r="DE61" i="5"/>
  <c r="DK61" i="5"/>
  <c r="DL26" i="5"/>
  <c r="DN26" i="5"/>
  <c r="DN27" i="5" s="1"/>
  <c r="DN31" i="5" s="1"/>
  <c r="AE61" i="5"/>
  <c r="CP14" i="5"/>
  <c r="CZ61" i="5"/>
  <c r="CX61" i="5"/>
  <c r="BC51" i="5"/>
  <c r="DN61" i="5" l="1"/>
  <c r="DL27" i="5"/>
  <c r="DL61" i="5" s="1"/>
  <c r="CQ14" i="5"/>
  <c r="CU14" i="5"/>
  <c r="AB36" i="5"/>
  <c r="AB10" i="5"/>
  <c r="BC61" i="5"/>
  <c r="CP51" i="5"/>
  <c r="CP10" i="5" l="1"/>
  <c r="AB61" i="5"/>
  <c r="CQ51" i="5"/>
  <c r="CU51" i="5"/>
  <c r="CQ10" i="5" l="1"/>
  <c r="CU10" i="5"/>
  <c r="CF40" i="5" l="1"/>
  <c r="CF36" i="5" s="1"/>
  <c r="CG40" i="5" l="1"/>
  <c r="CG36" i="5" s="1"/>
  <c r="CJ40" i="5"/>
  <c r="CJ36" i="5" s="1"/>
  <c r="BS40" i="5" l="1"/>
  <c r="BS50" i="5" s="1"/>
  <c r="BV40" i="5"/>
  <c r="BV36" i="5" s="1"/>
  <c r="BV61" i="5" s="1"/>
  <c r="T5" i="5"/>
  <c r="T61" i="5" s="1"/>
  <c r="S5" i="5"/>
  <c r="S61" i="5" s="1"/>
  <c r="Q5" i="5"/>
  <c r="Q61" i="5" s="1"/>
  <c r="BG56" i="5"/>
  <c r="BG36" i="5" s="1"/>
  <c r="BG61" i="5" s="1"/>
  <c r="AC13" i="5"/>
  <c r="AC61" i="5" s="1"/>
  <c r="O19" i="5"/>
  <c r="CP19" i="5" s="1"/>
  <c r="O36" i="5"/>
  <c r="K5" i="5"/>
  <c r="H25" i="36" l="1"/>
  <c r="I25" i="36" s="1"/>
  <c r="AP52" i="5"/>
  <c r="BH56" i="5"/>
  <c r="BH36" i="5" s="1"/>
  <c r="BH61" i="5" s="1"/>
  <c r="CQ19" i="5"/>
  <c r="CU19" i="5"/>
  <c r="K61" i="5"/>
  <c r="BS61" i="5"/>
  <c r="CP50" i="5"/>
  <c r="AY46" i="5"/>
  <c r="O5" i="5"/>
  <c r="O61" i="5" s="1"/>
  <c r="CP5" i="5" l="1"/>
  <c r="CQ5" i="5" s="1"/>
  <c r="AY56" i="5"/>
  <c r="CP56" i="5" s="1"/>
  <c r="CP46" i="5"/>
  <c r="AY61" i="5"/>
  <c r="CQ50" i="5"/>
  <c r="CU50" i="5"/>
  <c r="AP61" i="5"/>
  <c r="CP52" i="5"/>
  <c r="CU5" i="5" l="1"/>
  <c r="CQ46" i="5"/>
  <c r="CU46" i="5"/>
  <c r="CQ56" i="5"/>
  <c r="CU56" i="5"/>
  <c r="CQ52" i="5"/>
  <c r="CU52" i="5"/>
  <c r="CU57" i="5" s="1"/>
  <c r="E388" i="55" l="1"/>
  <c r="E259" i="55" l="1"/>
  <c r="I15" i="51" l="1"/>
  <c r="G7" i="35" l="1"/>
  <c r="E7" i="35"/>
  <c r="G14" i="27"/>
  <c r="M38" i="52" l="1"/>
  <c r="M40" i="52" s="1"/>
  <c r="D14" i="52" l="1"/>
  <c r="G38" i="51"/>
  <c r="H13" i="44" l="1"/>
  <c r="E85" i="52" l="1"/>
  <c r="C20" i="51"/>
  <c r="C38" i="51" l="1"/>
  <c r="CC40" i="5" l="1"/>
  <c r="CC36" i="5" l="1"/>
  <c r="CP40" i="5"/>
  <c r="CQ40" i="5" l="1"/>
  <c r="CU40" i="5"/>
  <c r="CU47" i="5" s="1"/>
  <c r="CU59" i="5" s="1"/>
  <c r="J64" i="52" l="1"/>
  <c r="I8" i="18" l="1"/>
  <c r="B17" i="59"/>
  <c r="D8" i="25" l="1"/>
  <c r="D9" i="25" s="1"/>
  <c r="H24" i="36" l="1"/>
  <c r="I24" i="36" s="1"/>
  <c r="E12" i="61" l="1"/>
  <c r="O38" i="52" l="1"/>
  <c r="R38" i="52" s="1"/>
  <c r="H8" i="20" l="1"/>
  <c r="P13" i="5" l="1"/>
  <c r="P61" i="5" l="1"/>
  <c r="CP13" i="5"/>
  <c r="CU13" i="5" s="1"/>
  <c r="CU16" i="5" s="1"/>
  <c r="CQ13" i="5" l="1"/>
  <c r="AQ36" i="5" l="1"/>
  <c r="CP36" i="5" s="1"/>
  <c r="AQ22" i="5"/>
  <c r="F10" i="38"/>
  <c r="F11" i="38" s="1"/>
  <c r="AQ61" i="5" l="1"/>
  <c r="CP22" i="5"/>
  <c r="CU36" i="5"/>
  <c r="CU37" i="5" s="1"/>
  <c r="CU60" i="5" s="1"/>
  <c r="CQ36" i="5"/>
  <c r="CQ22" i="5" l="1"/>
  <c r="CQ61" i="5" s="1"/>
  <c r="CU22" i="5"/>
  <c r="CU27" i="5" s="1"/>
  <c r="CU31" i="5" s="1"/>
  <c r="CU61" i="5" s="1"/>
  <c r="CP61" i="5"/>
  <c r="H14" i="44" l="1"/>
  <c r="H15" i="52" l="1"/>
  <c r="H16" i="52" s="1"/>
  <c r="C368" i="62"/>
  <c r="E12" i="52" l="1"/>
  <c r="I36" i="51" l="1"/>
  <c r="I35" i="51"/>
  <c r="F21" i="46" l="1"/>
  <c r="F22" i="46" s="1"/>
  <c r="G30" i="59" l="1"/>
  <c r="B31" i="59" l="1"/>
  <c r="C8" i="61"/>
  <c r="C7" i="61"/>
  <c r="C4" i="61"/>
  <c r="G7" i="61" l="1"/>
  <c r="G8" i="61"/>
  <c r="G4" i="61"/>
  <c r="H10" i="44"/>
  <c r="E7" i="64" l="1"/>
  <c r="F49" i="52"/>
  <c r="F63" i="52" s="1"/>
  <c r="I30" i="51" l="1"/>
  <c r="I29" i="51"/>
  <c r="I28" i="51"/>
  <c r="I27" i="51"/>
  <c r="H39" i="52"/>
  <c r="H38" i="52"/>
  <c r="I38" i="52" s="1"/>
  <c r="H37" i="52"/>
  <c r="H40" i="52" l="1"/>
  <c r="C74" i="52"/>
  <c r="G74" i="52" s="1"/>
  <c r="F19" i="1"/>
  <c r="E15" i="52" l="1"/>
  <c r="E14" i="52"/>
  <c r="E13" i="52"/>
  <c r="E11" i="52"/>
  <c r="I74" i="52"/>
  <c r="K74" i="52" s="1"/>
  <c r="M74" i="52" s="1"/>
  <c r="E16" i="52" l="1"/>
  <c r="F50" i="52"/>
  <c r="M49" i="52" l="1"/>
  <c r="E63" i="52"/>
  <c r="H7" i="38" l="1"/>
  <c r="F7" i="40" l="1"/>
  <c r="D7" i="40"/>
  <c r="E907" i="53" l="1"/>
  <c r="K919" i="53"/>
  <c r="K918" i="53"/>
  <c r="K917" i="53"/>
  <c r="K916" i="53"/>
  <c r="K915" i="53"/>
  <c r="K914" i="53"/>
  <c r="K913" i="53"/>
  <c r="K924" i="53"/>
  <c r="K923" i="53"/>
  <c r="K922" i="53"/>
  <c r="K921" i="53"/>
  <c r="K920" i="53"/>
  <c r="B99" i="53"/>
  <c r="B1" i="53" l="1"/>
  <c r="F9" i="17" l="1"/>
  <c r="F13" i="17" s="1"/>
  <c r="G63" i="52" l="1"/>
  <c r="G49" i="52" l="1"/>
  <c r="H49" i="52" s="1"/>
  <c r="H63" i="52" l="1"/>
  <c r="J63" i="52" s="1"/>
  <c r="F36" i="59"/>
  <c r="I37" i="51"/>
  <c r="F7" i="33" l="1"/>
  <c r="G88" i="52" l="1"/>
  <c r="G89" i="52" s="1"/>
  <c r="F88" i="52"/>
  <c r="F89" i="52" s="1"/>
  <c r="E88" i="52"/>
  <c r="D88" i="52"/>
  <c r="I77" i="52" l="1"/>
  <c r="K77" i="52" s="1"/>
  <c r="M77" i="52" s="1"/>
  <c r="F31" i="59" l="1"/>
  <c r="G35" i="59"/>
  <c r="H31" i="59" l="1"/>
  <c r="H36" i="59"/>
  <c r="F7" i="60" l="1"/>
  <c r="J68" i="52" l="1"/>
  <c r="J67" i="52"/>
  <c r="E67" i="52"/>
  <c r="D7" i="60" l="1"/>
  <c r="L57" i="52"/>
  <c r="N57" i="52" s="1"/>
  <c r="G58" i="52"/>
  <c r="H58" i="52" s="1"/>
  <c r="G57" i="52"/>
  <c r="G52" i="52"/>
  <c r="H52" i="52" s="1"/>
  <c r="G50" i="52"/>
  <c r="H50" i="52" s="1"/>
  <c r="G51" i="52"/>
  <c r="H51" i="52" s="1"/>
  <c r="R37" i="52"/>
  <c r="K15" i="52"/>
  <c r="J15" i="52"/>
  <c r="G15" i="52"/>
  <c r="G16" i="52" s="1"/>
  <c r="D15" i="52"/>
  <c r="D13" i="52" l="1"/>
  <c r="K12" i="52"/>
  <c r="J12" i="52"/>
  <c r="D12" i="52"/>
  <c r="K11" i="52"/>
  <c r="H29" i="52" l="1"/>
  <c r="H28" i="52"/>
  <c r="K16" i="52"/>
  <c r="K22" i="52" s="1"/>
  <c r="H22" i="52"/>
  <c r="H23" i="52"/>
  <c r="E23" i="52"/>
  <c r="K23" i="52" l="1"/>
  <c r="E22" i="52"/>
  <c r="I39" i="51" l="1"/>
  <c r="I38" i="51"/>
  <c r="F30" i="1" l="1"/>
  <c r="F33" i="1" s="1"/>
  <c r="F34" i="1" l="1"/>
  <c r="I31" i="59" l="1"/>
  <c r="E20" i="59" l="1"/>
  <c r="C18" i="59" l="1"/>
  <c r="F19" i="59"/>
  <c r="G19" i="59" s="1"/>
  <c r="D17" i="59"/>
  <c r="F17" i="59" s="1"/>
  <c r="I17" i="59" l="1"/>
  <c r="H17" i="59"/>
  <c r="G20" i="59"/>
  <c r="H19" i="59"/>
  <c r="D20" i="59"/>
  <c r="C20" i="59"/>
  <c r="F18" i="59"/>
  <c r="H18" i="59" s="1"/>
  <c r="B20" i="59"/>
  <c r="H20" i="59" l="1"/>
  <c r="F20" i="59"/>
  <c r="E11" i="59"/>
  <c r="G11" i="59" s="1"/>
  <c r="E7" i="59"/>
  <c r="G7" i="59" s="1"/>
  <c r="E6" i="59"/>
  <c r="G6" i="59" s="1"/>
  <c r="E5" i="59"/>
  <c r="G5" i="59" s="1"/>
  <c r="F8" i="59"/>
  <c r="D8" i="59"/>
  <c r="C8" i="59"/>
  <c r="B8" i="59"/>
  <c r="G8" i="59" l="1"/>
  <c r="H5" i="59"/>
  <c r="E8" i="59"/>
  <c r="H8" i="59"/>
  <c r="F8" i="25" l="1"/>
  <c r="F9" i="25" s="1"/>
  <c r="G19" i="35" l="1"/>
  <c r="I20" i="51" l="1"/>
  <c r="H57" i="52" l="1"/>
  <c r="G290" i="55" l="1"/>
  <c r="G292" i="55"/>
  <c r="G11" i="36" l="1"/>
  <c r="I5" i="20" l="1"/>
  <c r="H5" i="20"/>
  <c r="C21" i="51" l="1"/>
  <c r="E21" i="51"/>
  <c r="Q40" i="52" l="1"/>
  <c r="P40" i="52"/>
  <c r="O40" i="52"/>
  <c r="N40" i="52"/>
  <c r="R39" i="52"/>
  <c r="G40" i="52"/>
  <c r="F40" i="52"/>
  <c r="E40" i="52"/>
  <c r="D40" i="52"/>
  <c r="R40" i="52" l="1"/>
  <c r="H456" i="55" l="1"/>
  <c r="D404" i="55" l="1"/>
  <c r="D402" i="55"/>
  <c r="D401" i="55"/>
  <c r="E401" i="55" s="1"/>
  <c r="D400" i="55"/>
  <c r="E400" i="55" s="1"/>
  <c r="D398" i="55"/>
  <c r="E398" i="55" s="1"/>
  <c r="D399" i="55"/>
  <c r="D397" i="55"/>
  <c r="C404" i="55"/>
  <c r="C402" i="55"/>
  <c r="E402" i="55" s="1"/>
  <c r="C401" i="55"/>
  <c r="C400" i="55"/>
  <c r="C398" i="55"/>
  <c r="C399" i="55"/>
  <c r="C397" i="55"/>
  <c r="C395" i="55"/>
  <c r="C394" i="55"/>
  <c r="C393" i="55"/>
  <c r="E385" i="55"/>
  <c r="E386" i="55" s="1"/>
  <c r="E356" i="55"/>
  <c r="E351" i="55"/>
  <c r="E350" i="55"/>
  <c r="E349" i="55"/>
  <c r="E348" i="55"/>
  <c r="E399" i="55" l="1"/>
  <c r="E352" i="55"/>
  <c r="E353" i="55" s="1"/>
  <c r="I59" i="4" l="1"/>
  <c r="D345" i="55" l="1"/>
  <c r="J319" i="55" l="1"/>
  <c r="K319" i="55" s="1"/>
  <c r="C322" i="55" l="1"/>
  <c r="D226" i="55" l="1"/>
  <c r="F95" i="10"/>
  <c r="D238" i="55"/>
  <c r="D237" i="55"/>
  <c r="D236" i="55"/>
  <c r="D235" i="55"/>
  <c r="D234" i="55"/>
  <c r="D233" i="55"/>
  <c r="D232" i="55"/>
  <c r="D231" i="55"/>
  <c r="D230" i="55"/>
  <c r="D229" i="55"/>
  <c r="D228" i="55"/>
  <c r="D227" i="55"/>
  <c r="D253" i="55"/>
  <c r="D252" i="55"/>
  <c r="D251" i="55"/>
  <c r="D250" i="55"/>
  <c r="D249" i="55"/>
  <c r="D248" i="55"/>
  <c r="D247" i="55"/>
  <c r="D246" i="55"/>
  <c r="D245" i="55"/>
  <c r="M51" i="52" l="1"/>
  <c r="N51" i="52" s="1"/>
  <c r="K930" i="53" l="1"/>
  <c r="K929" i="53"/>
  <c r="K927" i="53"/>
  <c r="K926" i="53"/>
  <c r="K925" i="53"/>
  <c r="M18" i="53"/>
  <c r="I18" i="51"/>
  <c r="J18" i="51" s="1"/>
  <c r="I19" i="51"/>
  <c r="I17" i="51"/>
  <c r="I10" i="51"/>
  <c r="K10" i="51" s="1"/>
  <c r="I9" i="51"/>
  <c r="I8" i="51"/>
  <c r="I7" i="51"/>
  <c r="I6" i="51"/>
  <c r="K6" i="51" s="1"/>
  <c r="I5" i="51"/>
  <c r="K931" i="53" l="1"/>
  <c r="I4" i="55"/>
  <c r="I3" i="55"/>
  <c r="H98" i="55"/>
  <c r="G98" i="55"/>
  <c r="H97" i="55"/>
  <c r="G97" i="55"/>
  <c r="H6" i="55"/>
  <c r="G6" i="55"/>
  <c r="H5" i="55"/>
  <c r="G5" i="55"/>
  <c r="CR13" i="5" l="1"/>
  <c r="I6" i="55"/>
  <c r="I97" i="55"/>
  <c r="I98" i="55"/>
  <c r="I5" i="55"/>
  <c r="CR24" i="5" l="1"/>
  <c r="CS24" i="5" s="1"/>
  <c r="CS13" i="5"/>
  <c r="I218" i="55"/>
  <c r="H21" i="7" l="1"/>
  <c r="E292" i="55" l="1"/>
  <c r="I227" i="55" s="1"/>
  <c r="I231" i="55"/>
  <c r="I235" i="55"/>
  <c r="I230" i="55"/>
  <c r="I228" i="55" l="1"/>
  <c r="I233" i="55"/>
  <c r="I229" i="55"/>
  <c r="I226" i="55"/>
  <c r="G291" i="55"/>
  <c r="I232" i="55"/>
  <c r="I234" i="55"/>
  <c r="K227" i="55"/>
  <c r="J229" i="55" l="1"/>
  <c r="F222" i="55"/>
  <c r="E65" i="8" l="1"/>
  <c r="E64" i="8"/>
  <c r="E63" i="8"/>
  <c r="E61" i="8"/>
  <c r="E60" i="8"/>
  <c r="F89" i="10"/>
  <c r="F94" i="10"/>
  <c r="F93" i="10"/>
  <c r="F92" i="10"/>
  <c r="F91" i="10"/>
  <c r="F90" i="10"/>
  <c r="F88" i="10"/>
  <c r="K128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H10" i="38"/>
  <c r="H11" i="38" s="1"/>
  <c r="F96" i="10" l="1"/>
  <c r="D254" i="55"/>
  <c r="D11" i="44" l="1"/>
  <c r="J29" i="11"/>
  <c r="J28" i="11"/>
  <c r="I28" i="11"/>
  <c r="D39" i="11"/>
  <c r="D15" i="44" l="1"/>
  <c r="D18" i="44" s="1"/>
  <c r="I17" i="17" l="1"/>
  <c r="I18" i="17"/>
  <c r="H19" i="17" l="1"/>
  <c r="H22" i="17" s="1"/>
  <c r="H9" i="17"/>
  <c r="H13" i="17" s="1"/>
  <c r="I13" i="17" s="1"/>
  <c r="H27" i="17" l="1"/>
  <c r="I9" i="17"/>
  <c r="H26" i="17"/>
  <c r="D5" i="33" l="1"/>
  <c r="D7" i="33" s="1"/>
  <c r="E41" i="30"/>
  <c r="AB41" i="30" s="1"/>
  <c r="B5" i="30"/>
  <c r="J11" i="52" s="1"/>
  <c r="J16" i="52" s="1"/>
  <c r="B3" i="30"/>
  <c r="AB35" i="30"/>
  <c r="AB45" i="30"/>
  <c r="AB18" i="30"/>
  <c r="AB16" i="30"/>
  <c r="AB25" i="30"/>
  <c r="AB24" i="30"/>
  <c r="AB23" i="30"/>
  <c r="AB22" i="30"/>
  <c r="B2" i="30" s="1"/>
  <c r="C53" i="30"/>
  <c r="G53" i="30" s="1"/>
  <c r="C52" i="30"/>
  <c r="G52" i="30" s="1"/>
  <c r="C51" i="30"/>
  <c r="G51" i="30" s="1"/>
  <c r="C54" i="30"/>
  <c r="G54" i="30" s="1"/>
  <c r="E46" i="30"/>
  <c r="D46" i="30"/>
  <c r="C46" i="30"/>
  <c r="B46" i="30"/>
  <c r="D41" i="30"/>
  <c r="C41" i="30"/>
  <c r="B41" i="30"/>
  <c r="E36" i="30"/>
  <c r="D36" i="30"/>
  <c r="C36" i="30"/>
  <c r="B36" i="30"/>
  <c r="E31" i="30"/>
  <c r="AB31" i="30" s="1"/>
  <c r="D31" i="30"/>
  <c r="C31" i="30"/>
  <c r="B31" i="30"/>
  <c r="E22" i="30"/>
  <c r="D22" i="30"/>
  <c r="C22" i="30"/>
  <c r="B22" i="30"/>
  <c r="E15" i="30"/>
  <c r="D15" i="30"/>
  <c r="C15" i="30"/>
  <c r="A15" i="30"/>
  <c r="B15" i="30"/>
  <c r="F5" i="31"/>
  <c r="F6" i="31" s="1"/>
  <c r="E48" i="30" l="1"/>
  <c r="E6" i="30"/>
  <c r="B48" i="30"/>
  <c r="B4" i="30"/>
  <c r="D89" i="52"/>
  <c r="K29" i="52"/>
  <c r="K28" i="52"/>
  <c r="B6" i="30"/>
  <c r="F7" i="28"/>
  <c r="F10" i="28" s="1"/>
  <c r="B7" i="30" l="1"/>
  <c r="G24" i="26" l="1"/>
  <c r="C46" i="26"/>
  <c r="B46" i="26"/>
  <c r="C53" i="26"/>
  <c r="B53" i="26"/>
  <c r="B61" i="26" s="1"/>
  <c r="D61" i="26" s="1"/>
  <c r="C39" i="26"/>
  <c r="B39" i="26"/>
  <c r="C27" i="26"/>
  <c r="B27" i="26"/>
  <c r="D15" i="24"/>
  <c r="B17" i="24"/>
  <c r="B8" i="24"/>
  <c r="H15" i="22"/>
  <c r="H16" i="22" s="1"/>
  <c r="G16" i="51"/>
  <c r="G21" i="51" s="1"/>
  <c r="F59" i="1"/>
  <c r="F49" i="1"/>
  <c r="F39" i="1"/>
  <c r="C12" i="61" s="1"/>
  <c r="G12" i="61" s="1"/>
  <c r="F61" i="1" l="1"/>
  <c r="F19" i="17"/>
  <c r="F22" i="17" s="1"/>
  <c r="F27" i="17" s="1"/>
  <c r="I27" i="17" s="1"/>
  <c r="J27" i="17" s="1"/>
  <c r="I16" i="51"/>
  <c r="H22" i="26"/>
  <c r="I22" i="26" s="1"/>
  <c r="H21" i="26"/>
  <c r="I21" i="26" s="1"/>
  <c r="H23" i="26"/>
  <c r="I23" i="26" s="1"/>
  <c r="E17" i="16"/>
  <c r="D12" i="16"/>
  <c r="D18" i="16" l="1"/>
  <c r="E12" i="16"/>
  <c r="D14" i="16"/>
  <c r="I36" i="59"/>
  <c r="F26" i="17"/>
  <c r="I19" i="17"/>
  <c r="J16" i="51"/>
  <c r="I21" i="51"/>
  <c r="N49" i="52"/>
  <c r="F62" i="1"/>
  <c r="H24" i="26"/>
  <c r="E11" i="16"/>
  <c r="I26" i="17" l="1"/>
  <c r="J26" i="17" s="1"/>
  <c r="I22" i="17"/>
  <c r="E14" i="16"/>
  <c r="E19" i="16" s="1"/>
  <c r="D19" i="16"/>
  <c r="C23" i="59"/>
  <c r="E18" i="16" l="1"/>
  <c r="I25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9" i="11"/>
  <c r="I9" i="11"/>
  <c r="J8" i="11"/>
  <c r="I8" i="11"/>
  <c r="J7" i="11"/>
  <c r="I7" i="11"/>
  <c r="J6" i="11"/>
  <c r="I6" i="11"/>
  <c r="J5" i="11"/>
  <c r="I5" i="11"/>
  <c r="C30" i="59" l="1"/>
  <c r="I41" i="11"/>
  <c r="J41" i="11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E32" i="30" l="1"/>
  <c r="E35" i="59"/>
  <c r="E30" i="59" l="1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79" i="6" l="1"/>
  <c r="E37" i="30"/>
  <c r="H79" i="6"/>
  <c r="J262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E42" i="30" l="1"/>
  <c r="J269" i="4"/>
  <c r="J270" i="4" s="1"/>
  <c r="E23" i="30"/>
  <c r="I232" i="4"/>
  <c r="H232" i="4"/>
  <c r="I284" i="4"/>
  <c r="H284" i="4"/>
  <c r="J263" i="4"/>
  <c r="J264" i="4" s="1"/>
  <c r="F8" i="22" l="1"/>
  <c r="F9" i="22" s="1"/>
  <c r="D35" i="59"/>
  <c r="J232" i="4"/>
  <c r="F15" i="22"/>
  <c r="F16" i="22" s="1"/>
  <c r="D30" i="59"/>
  <c r="D4" i="31" l="1"/>
  <c r="D5" i="31" s="1"/>
  <c r="E16" i="30"/>
  <c r="D239" i="55"/>
  <c r="E12" i="36" l="1"/>
  <c r="D7" i="28"/>
  <c r="D10" i="28" s="1"/>
  <c r="M50" i="52"/>
  <c r="N50" i="52" s="1"/>
  <c r="O50" i="52" s="1"/>
  <c r="D6" i="31"/>
  <c r="M52" i="52"/>
  <c r="N52" i="52" s="1"/>
  <c r="O52" i="52" s="1"/>
  <c r="E89" i="52" l="1"/>
  <c r="M58" i="52"/>
  <c r="N58" i="52" s="1"/>
  <c r="O58" i="52" s="1"/>
  <c r="E64" i="52"/>
  <c r="I64" i="52" s="1"/>
  <c r="I63" i="52"/>
  <c r="O49" i="52"/>
  <c r="D30" i="1"/>
  <c r="D9" i="21" l="1"/>
  <c r="G64" i="52"/>
  <c r="B30" i="59" l="1"/>
  <c r="F30" i="59" s="1"/>
  <c r="I67" i="52"/>
  <c r="O57" i="52"/>
  <c r="H30" i="59" l="1"/>
  <c r="I30" i="59" l="1"/>
  <c r="D16" i="52" l="1"/>
  <c r="E28" i="52" l="1"/>
  <c r="E29" i="52"/>
  <c r="H12" i="44" l="1"/>
  <c r="F11" i="44" l="1"/>
  <c r="F15" i="44" s="1"/>
  <c r="H11" i="44" l="1"/>
  <c r="H15" i="44" s="1"/>
  <c r="H12" i="61" l="1"/>
  <c r="D59" i="1" l="1"/>
  <c r="D61" i="1" l="1"/>
  <c r="E68" i="52" l="1"/>
  <c r="G68" i="52" s="1"/>
  <c r="B35" i="59" l="1"/>
  <c r="F35" i="59" s="1"/>
  <c r="H35" i="59" s="1"/>
  <c r="I35" i="59" s="1"/>
  <c r="H17" i="44" l="1"/>
  <c r="H18" i="44" s="1"/>
  <c r="F18" i="44"/>
  <c r="D39" i="1"/>
  <c r="D62" i="1" l="1"/>
  <c r="B35" i="58"/>
  <c r="B41" i="58" s="1"/>
  <c r="D23" i="59" l="1"/>
  <c r="E23" i="59"/>
  <c r="B23" i="59" l="1"/>
  <c r="F23" i="59" s="1"/>
  <c r="H23" i="59" s="1"/>
  <c r="I23" i="59" s="1"/>
  <c r="B59" i="58" l="1"/>
  <c r="B64" i="58" s="1"/>
  <c r="B65" i="58" s="1"/>
  <c r="D59" i="58"/>
  <c r="D64" i="58" s="1"/>
</calcChain>
</file>

<file path=xl/comments1.xml><?xml version="1.0" encoding="utf-8"?>
<comments xmlns="http://schemas.openxmlformats.org/spreadsheetml/2006/main">
  <authors>
    <author>Аяганова Жамиля Ермековна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Аяганова Жамиля Ермековна:</t>
        </r>
        <r>
          <rPr>
            <sz val="9"/>
            <color indexed="81"/>
            <rFont val="Tahoma"/>
            <family val="2"/>
            <charset val="204"/>
          </rPr>
          <t xml:space="preserve">
здесь не за минусом резерваЕЗ</t>
        </r>
      </text>
    </comment>
    <comment ref="I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Аяганова Жамиля </t>
        </r>
        <r>
          <rPr>
            <sz val="9"/>
            <color indexed="81"/>
            <rFont val="Tahoma"/>
            <family val="2"/>
            <charset val="204"/>
          </rPr>
          <t xml:space="preserve">
почему не идет на такую большую сумму?</t>
        </r>
      </text>
    </comment>
  </commentList>
</comments>
</file>

<file path=xl/sharedStrings.xml><?xml version="1.0" encoding="utf-8"?>
<sst xmlns="http://schemas.openxmlformats.org/spreadsheetml/2006/main" count="7503" uniqueCount="3242">
  <si>
    <t>Property, plant and equipment</t>
  </si>
  <si>
    <t>Investment property</t>
  </si>
  <si>
    <t>Intangible assets</t>
  </si>
  <si>
    <t>Loans given, non-current portion</t>
  </si>
  <si>
    <t>Deferred tax assets</t>
  </si>
  <si>
    <t>Other non-current assets</t>
  </si>
  <si>
    <t>Restricted cash</t>
  </si>
  <si>
    <t>Основные средства</t>
  </si>
  <si>
    <t>Инвестиционная недвижимость</t>
  </si>
  <si>
    <t>Нематериальные активы</t>
  </si>
  <si>
    <t>Отложенные налоговые активы</t>
  </si>
  <si>
    <t>НДС к возмещению</t>
  </si>
  <si>
    <t>Предоплата</t>
  </si>
  <si>
    <t>АКТИВЫ</t>
  </si>
  <si>
    <t>Долгосрочные активы</t>
  </si>
  <si>
    <t>Краткосрочные активы</t>
  </si>
  <si>
    <t>Товарно-материальные запасы</t>
  </si>
  <si>
    <t>Предоплата по подоходному налогу</t>
  </si>
  <si>
    <t>НДС к возмещению, долгосрочный</t>
  </si>
  <si>
    <t>Торговая и прочая дебиторская задолженность</t>
  </si>
  <si>
    <t>Прочие нефинансовые активы</t>
  </si>
  <si>
    <t>Предоплата, долгосрочная</t>
  </si>
  <si>
    <t>Займы выданные</t>
  </si>
  <si>
    <t>Займы выданнные, долгосрочные</t>
  </si>
  <si>
    <t>Денежные средства и их эквиваленты</t>
  </si>
  <si>
    <t>Активы, предназначенные для продажи</t>
  </si>
  <si>
    <t>ИТОГО АКТИВЫ</t>
  </si>
  <si>
    <t>КАПИТАЛ И ОБЯЗАТЕЛЬСТВА</t>
  </si>
  <si>
    <t>Акционерный капитал</t>
  </si>
  <si>
    <t>Накопленный убыток</t>
  </si>
  <si>
    <t>Долгосрочные обязательства</t>
  </si>
  <si>
    <t>Займы-долгосрочная часть</t>
  </si>
  <si>
    <t>Торговая кредиторская задолженность</t>
  </si>
  <si>
    <t>Отложенные налоговые обязательства</t>
  </si>
  <si>
    <t>Оценочные обязательства</t>
  </si>
  <si>
    <t>Прочие финансовые обязательства</t>
  </si>
  <si>
    <t>Краткосрочные обязательства</t>
  </si>
  <si>
    <t>Займы-краткосрочная часть</t>
  </si>
  <si>
    <t>Торговая и прочая кредиторская задолженность</t>
  </si>
  <si>
    <t>Прочие нефинансовые обязательства</t>
  </si>
  <si>
    <t>Обязательства по вознаграждению работникам-долгосрочная часть</t>
  </si>
  <si>
    <t>Итого обязательства</t>
  </si>
  <si>
    <t>Итого капитал и обязательства</t>
  </si>
  <si>
    <t>check</t>
  </si>
  <si>
    <t>АО "ГМК Казахалтын"</t>
  </si>
  <si>
    <t>Оборотно-сальдовая ведомость за 2018 г.</t>
  </si>
  <si>
    <t>Выводимые данные:</t>
  </si>
  <si>
    <t>БУ (данные бухгалтерского учета)</t>
  </si>
  <si>
    <t>Отбор:</t>
  </si>
  <si>
    <t>Подразделение В группе "Головное подразделение; АО "ГМК Казахалтын" (офис); ВК Филиал АО "ГМК Казахалтын"; Представительство г. Алматы; Представительство г. Астана; Филиал-рудник Аксу; Филиал-рудник Бестобе; Филиал-рудник Жолымбет"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</si>
  <si>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</si>
  <si>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</si>
  <si>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</si>
  <si>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</si>
  <si>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</si>
  <si>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</si>
  <si>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000, Вспомогательный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</si>
  <si>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</si>
  <si>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</si>
  <si>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</si>
  <si>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</si>
  <si>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1022, Конвертация валюты</t>
  </si>
  <si>
    <t>1030, Денежные средства на текущих банковских счетах</t>
  </si>
  <si>
    <t>1040, Денежные средства на корреспондентских счетах</t>
  </si>
  <si>
    <t>1060, Денежные средства, ограниченные в использовании</t>
  </si>
  <si>
    <t>1100, Краткосрочные финансовые активы</t>
  </si>
  <si>
    <t>1110, Краткосрочные финансовые активы, оцениваемые по амортизированной стоимости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</si>
  <si>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</si>
  <si>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</si>
  <si>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1220, Краткосрочная дебиторская задолженность дочерних организаций</t>
  </si>
  <si>
    <t>1230, Краткосрочная дебиторская задолженность ассоциированных и совместных организаций</t>
  </si>
  <si>
    <t>1250, Краткосрочная дебиторская задолженность работников</t>
  </si>
  <si>
    <t>1251, Краткосрочная задолженность подотчетных лиц</t>
  </si>
  <si>
    <t>1252, Краткосрочная задолженность сотрудников по выплаченной заработной плате</t>
  </si>
  <si>
    <t>1254, Прочая краткосрочная задолженность работников (хищение, порча, материальный ущерб и др.)</t>
  </si>
  <si>
    <t>1260, Краткосрочная дебиторская задолженность по аренде</t>
  </si>
  <si>
    <t>1270, Прочая краткосрочная дебиторская задолженность (1280)</t>
  </si>
  <si>
    <t>1273, Задолженность по выявленным недостачам ТМЗ (1283)</t>
  </si>
  <si>
    <t>1274, Прочая краткосрочная дебиторская задолженность (1284)</t>
  </si>
  <si>
    <t>1275, Прочая дебиторская задолженность покупателей и заказчиков (1285)</t>
  </si>
  <si>
    <t>1280, Оценочный резерв под убытки от обесценения краткосрочной дебиторской задолженности</t>
  </si>
  <si>
    <t>1282, Оценочный резерв под убытки от обесценения краткосрочной дебиторской задолженности ассоциированных и совмест. орг (1230)</t>
  </si>
  <si>
    <t>1285, Резерв по прочей краткосрочной дебиторской задолженности (1270)</t>
  </si>
  <si>
    <t>1286, Резерв по авансам выданным (1710)</t>
  </si>
  <si>
    <t>1300, Запасы</t>
  </si>
  <si>
    <t>1310, Сырье и материалы</t>
  </si>
  <si>
    <t>1311, Сырье и материалы</t>
  </si>
  <si>
    <t>1313, Топлива</t>
  </si>
  <si>
    <t>1314, Тара и тарные материалы</t>
  </si>
  <si>
    <t>1315, Запасные части разнообразные</t>
  </si>
  <si>
    <t>1315.1, Автошины и аккумуляторы</t>
  </si>
  <si>
    <t>1315.2, Запасные части</t>
  </si>
  <si>
    <t>1316, Прочие материалы</t>
  </si>
  <si>
    <t>1316.1, Спецодежда</t>
  </si>
  <si>
    <t>1316.2, Прочие материалы</t>
  </si>
  <si>
    <t>1317, Руда и материалы в переработку</t>
  </si>
  <si>
    <t>1317.1, Руда</t>
  </si>
  <si>
    <t>1317.3, ТМО</t>
  </si>
  <si>
    <t>1318, Строительные материалы и другие</t>
  </si>
  <si>
    <t>1320, Готовая продукция</t>
  </si>
  <si>
    <t>1330, Товары</t>
  </si>
  <si>
    <t>1340, Незавершенное производство</t>
  </si>
  <si>
    <t>1341, Основное производство</t>
  </si>
  <si>
    <t>1342, Полуфабрикаты собственного производства</t>
  </si>
  <si>
    <t>1350, Прочие запасы</t>
  </si>
  <si>
    <t>1351, Материалы переданные в переработку</t>
  </si>
  <si>
    <t>1352, Промежуточный для ГСМ</t>
  </si>
  <si>
    <t>1353, Товары в пути</t>
  </si>
  <si>
    <t>1354, Автошины в эксплуатации</t>
  </si>
  <si>
    <t>1354.1, Автошины в эксплуатации собственного автотранспорта</t>
  </si>
  <si>
    <t>1355, Аккумуляторы в эксплуатации</t>
  </si>
  <si>
    <t>1355.1, Аккумуляторы в эксплуатации собственного автотранспорта</t>
  </si>
  <si>
    <t>1355.2, Аккумуляторы в эксплуатации другого автотранспорта</t>
  </si>
  <si>
    <t>1356, Спецодежда в эксплуатации</t>
  </si>
  <si>
    <t>1360, Резерв по списанию запасов</t>
  </si>
  <si>
    <t>1361, Резерв по списанию сырья и материалов</t>
  </si>
  <si>
    <t>1362, Резерв по списанию готовой продукции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</si>
  <si>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</si>
  <si>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</si>
  <si>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</si>
  <si>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1430, Прочие налоги и другие обязательные платежи в бюджет</t>
  </si>
  <si>
    <t>1440, НДС за нерезидента (транзитный)</t>
  </si>
  <si>
    <t>1500, Долгосрочные активы для продажи</t>
  </si>
  <si>
    <t>1510, Долгосрочные активы, предназначенные для продажи</t>
  </si>
  <si>
    <t>1700, Прочие краткосрочные активы</t>
  </si>
  <si>
    <t>1710, Краткосрочные авансы выданные</t>
  </si>
  <si>
    <t>1711, Краткосрочные авансы выданные</t>
  </si>
  <si>
    <t>1720, Краткосрочные расходы будущих периодов</t>
  </si>
  <si>
    <t>1721, Расходы будущих периодов</t>
  </si>
  <si>
    <t>1722, РБП подписка, страхование</t>
  </si>
  <si>
    <t>1723, РБП ГПР</t>
  </si>
  <si>
    <t>1724, РБП ГРР</t>
  </si>
  <si>
    <t>1725, РБП вскрышные работы</t>
  </si>
  <si>
    <t>1750, Прочие краткосрочные активы</t>
  </si>
  <si>
    <t>2000, Долгосрочные финансовые инвестиции</t>
  </si>
  <si>
    <t>2010, Долгосрочные финансовые активы, оцениваемые по амортизированной стоимости</t>
  </si>
  <si>
    <t>2050, Долгосрочные вознаграждения к получению</t>
  </si>
  <si>
    <t>2100, Долгосрочная дебиторская задолженность</t>
  </si>
  <si>
    <t>2180, Оценочный резерв под убытки от обесценения долгосрочной дебиторской задолженности</t>
  </si>
  <si>
    <t>2184, Резерв по долгосрочным авансам выданным (2910)</t>
  </si>
  <si>
    <t>2200, Инвестиции учитываемые методом долевого участия</t>
  </si>
  <si>
    <t>2210, Инвестиции, учитываемые методом долевого участия</t>
  </si>
  <si>
    <t>2300, Инвестиции в недвижимость</t>
  </si>
  <si>
    <t>2310, Инвестиции в недвижимость</t>
  </si>
  <si>
    <t>2320, Амортизация инвестиций в недвижимость</t>
  </si>
  <si>
    <t>2400, Основные средства</t>
  </si>
  <si>
    <t>2410, Основные средства</t>
  </si>
  <si>
    <t>2411, Земля</t>
  </si>
  <si>
    <t>2412, Здания и сооружения</t>
  </si>
  <si>
    <t>2413, Машины и оборудование, передаточные устройства</t>
  </si>
  <si>
    <t>2414, Транспортные средства</t>
  </si>
  <si>
    <t>2415, Прочие основные средства</t>
  </si>
  <si>
    <t>2417, Незавершенные объект в эксплуатации</t>
  </si>
  <si>
    <t>2418, Стоимость горнокапитальные работы</t>
  </si>
  <si>
    <t>2419, Инвестиционная недвижимость</t>
  </si>
  <si>
    <t>2420, Амортизация основных средств</t>
  </si>
  <si>
    <t>2421, Износ зданийи сооружений</t>
  </si>
  <si>
    <t>2422, Износ машин и оборудования, передаточных устройств</t>
  </si>
  <si>
    <t>2423, Износ транспортных средств</t>
  </si>
  <si>
    <t>2424, Износ прочих основных средств</t>
  </si>
  <si>
    <t>2426, Износ, ликвидационный фонд</t>
  </si>
  <si>
    <t>2427, Износ, горнокапитальные работы</t>
  </si>
  <si>
    <t>2428, Износ инвестиционной недвижимости</t>
  </si>
  <si>
    <t>2700, Нематериальные активы</t>
  </si>
  <si>
    <t>2730, Прочие нематериальные активы</t>
  </si>
  <si>
    <t>2731, Прочие нематериальные активы</t>
  </si>
  <si>
    <t>2732, Стоимость, исторические затраты</t>
  </si>
  <si>
    <t>2740, Амортизация прочих нематериальных активов</t>
  </si>
  <si>
    <t>2741, Амортизация прочих нематериальных активов</t>
  </si>
  <si>
    <t>2742, Амортизация, исторические затраты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</si>
  <si>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</si>
  <si>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</si>
  <si>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</si>
  <si>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2910, Долгосрочные авансы</t>
  </si>
  <si>
    <t>2911, Авансы, выданные на приобретение ОС и НЗС</t>
  </si>
  <si>
    <t>2913, Краткосрочные комиссии по займам</t>
  </si>
  <si>
    <t>2920, Долгосрочные расходы будущих периодов</t>
  </si>
  <si>
    <t>2921, Расходы будущих периодов</t>
  </si>
  <si>
    <t>2923, РБП ГПР</t>
  </si>
  <si>
    <t>2924, РБП ГРР</t>
  </si>
  <si>
    <t>2925, РБП вскрышные работы</t>
  </si>
  <si>
    <t>2930, Незавершенное строительство</t>
  </si>
  <si>
    <t>2931, Незавершенное строительство</t>
  </si>
  <si>
    <t>2932, Оборудование</t>
  </si>
  <si>
    <t>2933, Геолого-разведочные работы</t>
  </si>
  <si>
    <t>2934, Первоочередные работы</t>
  </si>
  <si>
    <t>2935, ФА в пути</t>
  </si>
  <si>
    <t>2936, Основные средства к установке</t>
  </si>
  <si>
    <t>2937, 2 Незавершенное строительство</t>
  </si>
  <si>
    <t>2937.1, Новое строительство</t>
  </si>
  <si>
    <t>2937.2, Кап.ремонт и реконструкция</t>
  </si>
  <si>
    <t>2937.3, Горно-капитальные работы</t>
  </si>
  <si>
    <t>2937.4, Геолого-разведочные работы</t>
  </si>
  <si>
    <t>2937.5, Здания и сооружения</t>
  </si>
  <si>
    <t>2937.6, Оборудование к установке</t>
  </si>
  <si>
    <t>2937.7, Транспорт</t>
  </si>
  <si>
    <t>2937.8, Прочие ОС</t>
  </si>
  <si>
    <t>3000, Краткосрочные финансовые обязательства</t>
  </si>
  <si>
    <t>3010, Краткосрочные финансовые обязательства, оцениваемые по амортизированной стоимости</t>
  </si>
  <si>
    <t>3050, Краткосрочные вознаграждения к выплате</t>
  </si>
  <si>
    <t>3060, Текущая часть долгосрочных финансовых обязательств, оцениваемых по амортизированной стоимости</t>
  </si>
  <si>
    <t>3061, Краткосрочные комиссии по займам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</si>
  <si>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</si>
  <si>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</si>
  <si>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</si>
  <si>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</si>
  <si>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3140, Акцизы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</si>
  <si>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</si>
  <si>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</si>
  <si>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</si>
  <si>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</si>
  <si>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</si>
  <si>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3191, Прочие налоги</t>
  </si>
  <si>
    <t>3192, НДПИ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</si>
  <si>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</si>
  <si>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</si>
  <si>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</si>
  <si>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3250, Обязательства по обязательным пенсионным отчислениям</t>
  </si>
  <si>
    <t>3260, Обязательства по обязательному медицинскому страхованию</t>
  </si>
  <si>
    <t>3261, Обязательства по обязательному медицинскому страхованию (отчисления)</t>
  </si>
  <si>
    <t>3262, Обязательства по обязательному медицинскому страхованию (взносы)</t>
  </si>
  <si>
    <t>3300, Краткосрочная кредиторская задолженность</t>
  </si>
  <si>
    <t>3310, Краткосрочная задолженность поставщикам и подрядчикам</t>
  </si>
  <si>
    <t>3311, Краткосрочная задолженность поставщикам и подрядчикам (опер)</t>
  </si>
  <si>
    <t>3312, Краткосрочная задолженность поставщикам и подрядчикам (инвест.)</t>
  </si>
  <si>
    <t>3320, Краткосрочная кредиторская задолженность дочерним организациям</t>
  </si>
  <si>
    <t>3350, Краткосрочная задолженность по оплате труда</t>
  </si>
  <si>
    <t>3380, Прочая краткосрочная кредиторская задолженность</t>
  </si>
  <si>
    <t>3381, Транзитный счет</t>
  </si>
  <si>
    <t>3384, Задолженность по депонированной заработной плате</t>
  </si>
  <si>
    <t>3385, Задолженность по исполнительным листам</t>
  </si>
  <si>
    <t>3386, Задолженность перед подотчетными лицами</t>
  </si>
  <si>
    <t>3387, Прочая краткосрочная кредиторская задолженность</t>
  </si>
  <si>
    <t>3387.1, Прочая краткосрочная кредиторская задолженность</t>
  </si>
  <si>
    <t>3387.2, Объязательства сотрудниковпо сохранению имущества</t>
  </si>
  <si>
    <t>3388, Расчеты с фондами по объязательным платежам</t>
  </si>
  <si>
    <t>3389, Неотфактурованные поставки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</si>
  <si>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</si>
  <si>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</si>
  <si>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3431, Краткосрочные оценочные обязательства по вознаграждениям работникам</t>
  </si>
  <si>
    <t xml:space="preserve">3432, Вознаграждения по окончании трудовой деятельности (актуарные расчеты) </t>
  </si>
  <si>
    <t>3433, Прочие вознаграждения работникам (актуарные расчеты)</t>
  </si>
  <si>
    <t>3440, Прочие краткосрочные оценочные обязательства</t>
  </si>
  <si>
    <t>3500, Прочие краткосрочные обязательства</t>
  </si>
  <si>
    <t>3510, Краткосрочные авансы полученные</t>
  </si>
  <si>
    <t>4000, Долгосрочные финансовые обязательства</t>
  </si>
  <si>
    <t>4010, Долгосрочные банковские займы</t>
  </si>
  <si>
    <t>4050, Долгосрочные вознаграждения к выплате</t>
  </si>
  <si>
    <t>4051, Долгосрочные вознаграждения к выплате</t>
  </si>
  <si>
    <t>4052, Дисконт по займам</t>
  </si>
  <si>
    <t>4053, Долгосрочные комиссии по займам</t>
  </si>
  <si>
    <t>4100, Долгосрочная кредиторская задолженность</t>
  </si>
  <si>
    <t>4110, Долгосрочная задолженность поставщикам и подрядчикам</t>
  </si>
  <si>
    <t>4200, Долгосрочные оценочные обязательства</t>
  </si>
  <si>
    <t>4210, Долгосрочные гарантийные обязательства</t>
  </si>
  <si>
    <t>4230, Долгосрочные оценочные обязательства по вознаграждениям работникам</t>
  </si>
  <si>
    <t>4232, Вознаграждения по окончании трудовой деятельности (актуарные расчеты)</t>
  </si>
  <si>
    <t>4233, Прочие вознаграждения работникам (актуарные расчеты)</t>
  </si>
  <si>
    <t>4240, Прочие долгосрочные оценочные обязательства</t>
  </si>
  <si>
    <t>5000, Уставный капитал</t>
  </si>
  <si>
    <t>5020, Простые акции</t>
  </si>
  <si>
    <t>5500, Резервы</t>
  </si>
  <si>
    <t>5570, Прочие резервы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</si>
  <si>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</si>
  <si>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</si>
  <si>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</si>
  <si>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</si>
  <si>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</si>
  <si>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</si>
  <si>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</si>
  <si>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6100, Доходы от финансирования</t>
  </si>
  <si>
    <t>6110, Доходы по вознаграждениям</t>
  </si>
  <si>
    <t>6160, Прочие доходы от финансирования</t>
  </si>
  <si>
    <t>6200, Прочие доходы</t>
  </si>
  <si>
    <t>6210, Доходы от выбытия активов</t>
  </si>
  <si>
    <t>6220, Доходы от безвозмездно полученных активов</t>
  </si>
  <si>
    <t>6250, Доходы от курсовой и суммовой разницы</t>
  </si>
  <si>
    <t>6251, Доходы от курсовой разницы</t>
  </si>
  <si>
    <t>6252, Доходы от суммовой разницы</t>
  </si>
  <si>
    <t>6260, Доходы от операционной аренды</t>
  </si>
  <si>
    <t>6290, Прочие доходы</t>
  </si>
  <si>
    <t>6300, Доходы, связанные с прекращаемой деятельностью</t>
  </si>
  <si>
    <t>6310, Доходы связанные с прекращаемой деятельностью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</si>
  <si>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</si>
  <si>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</si>
  <si>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</si>
  <si>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</si>
  <si>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</si>
  <si>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</si>
  <si>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 (идущие на вычет по КПН)</t>
  </si>
  <si>
    <t>7212, Административные расходы (не идущие на вычет по КПН)</t>
  </si>
  <si>
    <t>7213, Ремонт основных средств</t>
  </si>
  <si>
    <t>7300, Расходы на финансирование</t>
  </si>
  <si>
    <t>7310, Расходы по вознаграждениям</t>
  </si>
  <si>
    <t>7311, Расходы по вознаграждениям</t>
  </si>
  <si>
    <t>7400, Прочие расходы</t>
  </si>
  <si>
    <t>7410, Расходы по выбытию активов</t>
  </si>
  <si>
    <t>7420, Расходы от обесценения нефинансовых активов</t>
  </si>
  <si>
    <t>7425, Расходы от обесценивания сырья и материалов (1361)</t>
  </si>
  <si>
    <t>7430, Расходы по курсовой разнице и суммовой разнице</t>
  </si>
  <si>
    <t>7431, Расходы по курсовой разнице</t>
  </si>
  <si>
    <t>7432, Расходы по суммовой разнице</t>
  </si>
  <si>
    <t>7440, Расходы по обесценению дебиторской задолженности</t>
  </si>
  <si>
    <t xml:space="preserve">7441, Расходы по обесценению дебиторской задолженности </t>
  </si>
  <si>
    <t>7443, Расходы от обесценения дебиторской задолженности (1250,1260,1270)</t>
  </si>
  <si>
    <t>7444, Расходы от обесценения авансов выданных (1710)</t>
  </si>
  <si>
    <t>7447, Расходы от обесценивания долгосрочных авансов выданных (2910)</t>
  </si>
  <si>
    <t>7450, Расходы по операционной аренде</t>
  </si>
  <si>
    <t>7451, Расходы по операционной аренде</t>
  </si>
  <si>
    <t>7452, Прочие расходы по операционной аренде</t>
  </si>
  <si>
    <t>7480,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</si>
  <si>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</si>
  <si>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</si>
  <si>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7711, Расходы по корпоративному подоходному налогу</t>
  </si>
  <si>
    <t>8100, Основное производство</t>
  </si>
  <si>
    <t>8110, Основное производство</t>
  </si>
  <si>
    <t>8111, Основное производство</t>
  </si>
  <si>
    <t>8112, Материалы</t>
  </si>
  <si>
    <t>8113, Оплата труда производственных рабочих</t>
  </si>
  <si>
    <t>8114, Отчисления от оплаты труда</t>
  </si>
  <si>
    <t>8115, Накладные расходы</t>
  </si>
  <si>
    <t>8300, Вспомогательные производства</t>
  </si>
  <si>
    <t>8310, Вспомогательные производства</t>
  </si>
  <si>
    <t>8311, Вспомогательные производства</t>
  </si>
  <si>
    <t>8312, Материалы</t>
  </si>
  <si>
    <t>8313, Оплата труда работников</t>
  </si>
  <si>
    <t>8314, Отчисления от оплаты труда</t>
  </si>
  <si>
    <t>8315, Накладные расходы</t>
  </si>
  <si>
    <t>8400, Накладные расходы</t>
  </si>
  <si>
    <t>8410, Накладные расходы</t>
  </si>
  <si>
    <t>8411, Накладные расходы</t>
  </si>
  <si>
    <t>8412, Материалы</t>
  </si>
  <si>
    <t>8413, Оплата труда работников</t>
  </si>
  <si>
    <t>8414, Отчисления от оплаты труда</t>
  </si>
  <si>
    <t>8415, Содержание оборудования</t>
  </si>
  <si>
    <t>8416, Износ основных средств и амортизация нематериальных активов</t>
  </si>
  <si>
    <t>8418, Арендная плата</t>
  </si>
  <si>
    <t>8419, Прочие</t>
  </si>
  <si>
    <t>Итого</t>
  </si>
  <si>
    <t>ОБЯЗАТЕЛЬСТВА</t>
  </si>
  <si>
    <t>КАПИТАЛ</t>
  </si>
  <si>
    <t>Grouping</t>
  </si>
  <si>
    <t>Счет</t>
  </si>
  <si>
    <t>Кор. Счет</t>
  </si>
  <si>
    <t>Начальное сальдо</t>
  </si>
  <si>
    <t>Оборот</t>
  </si>
  <si>
    <t>Конечное сальдо</t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</si>
  <si>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</si>
  <si>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</si>
  <si>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</si>
  <si>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</si>
  <si>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</si>
  <si>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операционные доходы</t>
  </si>
  <si>
    <t>Прочие операционные расходы</t>
  </si>
  <si>
    <t>Расходы по обесценению активов</t>
  </si>
  <si>
    <t>Положительная / (отрицательная) курсовая разница нетто</t>
  </si>
  <si>
    <t>Операционная прибыль</t>
  </si>
  <si>
    <t>Финансовые доходы</t>
  </si>
  <si>
    <t>Финансовые расходы</t>
  </si>
  <si>
    <t>Экономия (расход) по подоходному налогу</t>
  </si>
  <si>
    <t>Revenue</t>
  </si>
  <si>
    <t>Finance income</t>
  </si>
  <si>
    <t>Other operating income</t>
  </si>
  <si>
    <t>Foreign exchange gain/loss, net</t>
  </si>
  <si>
    <t>Cost of sales</t>
  </si>
  <si>
    <t>Selling expenses</t>
  </si>
  <si>
    <t>General and administrative expenses</t>
  </si>
  <si>
    <t>Finance costs</t>
  </si>
  <si>
    <t>Other operating expenses</t>
  </si>
  <si>
    <t>КОНСОЛИДИРОВАННЫЙ ОТЧЕТ О ФИНАНСОВОМ ПОЛОЖЕНИИ</t>
  </si>
  <si>
    <t>Cash and cash equivalents</t>
  </si>
  <si>
    <t>Loans given, current portion</t>
  </si>
  <si>
    <t>Trade and other accounts receivable</t>
  </si>
  <si>
    <t>Inventory</t>
  </si>
  <si>
    <t>Corporate income tax prepaid</t>
  </si>
  <si>
    <t>VAT recoverable, current portion</t>
  </si>
  <si>
    <t>Assets held for sale</t>
  </si>
  <si>
    <t>Advances paid for goods and services</t>
  </si>
  <si>
    <t>Investments</t>
  </si>
  <si>
    <t>Borrowings, current portion</t>
  </si>
  <si>
    <t>Trade and other accounts payable</t>
  </si>
  <si>
    <t>Employee benefit liability ST</t>
  </si>
  <si>
    <t>Liabilities for subsoil use contract, current portion</t>
  </si>
  <si>
    <t>Borrowings, non-current portion</t>
  </si>
  <si>
    <t>Payables, non-current portion</t>
  </si>
  <si>
    <t>Provisions, non-current portion</t>
  </si>
  <si>
    <t>Employee benefit liability LT</t>
  </si>
  <si>
    <t>Liabilities for subsoil use contract, non-current portion</t>
  </si>
  <si>
    <t>Share capital</t>
  </si>
  <si>
    <t>Долгосрочные депозиты</t>
  </si>
  <si>
    <t>Обязательства по вознаграждению работникам-краткосрочная часть</t>
  </si>
  <si>
    <t>Прочие резервы</t>
  </si>
  <si>
    <t>Инвестиции</t>
  </si>
  <si>
    <t>Прочие финансовые обязательства, долгосрочные</t>
  </si>
  <si>
    <t xml:space="preserve">Kazakhaltyn
</t>
  </si>
  <si>
    <t>KA Tech</t>
  </si>
  <si>
    <t>ТОО "Казахалтын Technology"</t>
  </si>
  <si>
    <t>1023, Денежные средства в пути операционные кассы</t>
  </si>
  <si>
    <t>1050, Денежные средства на сберегательных счетах</t>
  </si>
  <si>
    <t>1060, Прочие денежные средства</t>
  </si>
  <si>
    <t>1254, Прочая краткосрочная задолженность работников (питание, проживание)</t>
  </si>
  <si>
    <t>1270, Краткосрочные вознаграждения к получению</t>
  </si>
  <si>
    <t>1281, Задолженность по возвратам ТМЗ поставщикам</t>
  </si>
  <si>
    <t>1282, Задолженность по претензиям</t>
  </si>
  <si>
    <t>1283, Задолженность по выявленным недостачам ТМЗ</t>
  </si>
  <si>
    <t>1284, Прочая краткосрочная дебиторская задолженность</t>
  </si>
  <si>
    <t>1290, Резерв по сомнительным требованиям</t>
  </si>
  <si>
    <t>1317, Руда</t>
  </si>
  <si>
    <t>1330, Товары в пути</t>
  </si>
  <si>
    <t>1354, Специальная оснастка и специальная одежда в эксплуатации</t>
  </si>
  <si>
    <t>1356, Автошины в эксплуатации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</si>
  <si>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</si>
  <si>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</si>
  <si>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1610, Краткосрочные авансы выданные</t>
  </si>
  <si>
    <t>1620, Краткосрочные расходы будущих периодов</t>
  </si>
  <si>
    <t>1630, Прочие краткосрочные активы</t>
  </si>
  <si>
    <t>2184, Прочая долгосрочная дебиторская задолженность</t>
  </si>
  <si>
    <t>2910, Долгосрочные авансы выданные</t>
  </si>
  <si>
    <t>2932, Оборудования</t>
  </si>
  <si>
    <t>2933, Модернизация и капитальный ремонт ОС</t>
  </si>
  <si>
    <t>3010, Краткосрочные банковские займы</t>
  </si>
  <si>
    <t>3211, Обязательства по социальному страхованию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</si>
  <si>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</si>
  <si>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</si>
  <si>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3250, Обязательства по пенсионным отчислениям</t>
  </si>
  <si>
    <t>3380, Краткосрочные вознаграждения к выплате</t>
  </si>
  <si>
    <t>3391, Задолженность по возвратам реализованных готовой продукции, товаров, работ, услуг</t>
  </si>
  <si>
    <t>3392, Задолженность по присужденным штрафам пеням неустойкам</t>
  </si>
  <si>
    <t>3395, Задолженность по исполнительным листам</t>
  </si>
  <si>
    <t>3396, Задолженность перед подотчетными лицами</t>
  </si>
  <si>
    <t>3397, Прочая краткосрочная кредиторская задолженность</t>
  </si>
  <si>
    <t>3399, Неотфактурованные поставки</t>
  </si>
  <si>
    <t>4160, Долгосрочные вознаграждения к выплате</t>
  </si>
  <si>
    <t>4310, Отложенные налоговые обязательства по корпоративному подоходному налогу</t>
  </si>
  <si>
    <t>5030, Вклады и паи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</si>
  <si>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</si>
  <si>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</si>
  <si>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</si>
  <si>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</si>
  <si>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</si>
  <si>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6250, Доходы от курсовой разницы</t>
  </si>
  <si>
    <t>6280, Прочие доходы</t>
  </si>
  <si>
    <t>7220, Административные расходы не идущие на вычеты</t>
  </si>
  <si>
    <t>7430, Расходы по курсовой разнице</t>
  </si>
  <si>
    <t>7470, Прочие расходы</t>
  </si>
  <si>
    <t>Hotel</t>
  </si>
  <si>
    <t>Филиал АО "ГМК "КАЗАХАЛТЫН" "ТМО"</t>
  </si>
  <si>
    <t>1252, Задолженность по выплаченной заработной плате</t>
  </si>
  <si>
    <t>3340, Краткосрочная кредиторская задолженность филиалам и структурным подразделениям</t>
  </si>
  <si>
    <t>TMO</t>
  </si>
  <si>
    <t>ТОО "КАЗАХАЛТЫН LOGISTIC"</t>
  </si>
  <si>
    <t>Оборотно-сальдовая ведомость  за 2018 г.</t>
  </si>
  <si>
    <t>2418, Основные средства</t>
  </si>
  <si>
    <t>3211, Обязательства по социальным отчислениям</t>
  </si>
  <si>
    <t>3240, Прочие обязательства по другим добровольным платежам</t>
  </si>
  <si>
    <t>3399, неотфактурованные поставки</t>
  </si>
  <si>
    <t>Logistics</t>
  </si>
  <si>
    <t>Visart</t>
  </si>
  <si>
    <t>City A Invest</t>
  </si>
  <si>
    <t>Здания и сооружения</t>
  </si>
  <si>
    <t>Оборотно-сальдовая ведомость</t>
  </si>
  <si>
    <t xml:space="preserve"> </t>
  </si>
  <si>
    <t>за 2018 г.</t>
  </si>
  <si>
    <t>Код</t>
  </si>
  <si>
    <t>Наименование</t>
  </si>
  <si>
    <t>1010</t>
  </si>
  <si>
    <t>Денежные средства в кассе</t>
  </si>
  <si>
    <t>1020</t>
  </si>
  <si>
    <t>Денежные средства в пути</t>
  </si>
  <si>
    <t>1021</t>
  </si>
  <si>
    <t>Денежные средства в пути в тенге</t>
  </si>
  <si>
    <t>1030</t>
  </si>
  <si>
    <t>Денежные средства на текущих банковских счетах</t>
  </si>
  <si>
    <t>1210</t>
  </si>
  <si>
    <t>Краткосрочная дебиторская задолженность покупателей и заказчиков</t>
  </si>
  <si>
    <t>1220</t>
  </si>
  <si>
    <t>Краткосрочная дебиторская задолженность дочерних организаций</t>
  </si>
  <si>
    <t>1251</t>
  </si>
  <si>
    <t>Краткосрочная задолженность подотчетных лиц</t>
  </si>
  <si>
    <t>1252</t>
  </si>
  <si>
    <t>Задолженность по выплаченной заработной плате</t>
  </si>
  <si>
    <t>1260</t>
  </si>
  <si>
    <t>Краткосрочная дебиторская задолженность по аренде</t>
  </si>
  <si>
    <t>Прочая краткосрочная дебиторская задолженность</t>
  </si>
  <si>
    <t>1284</t>
  </si>
  <si>
    <t>1290</t>
  </si>
  <si>
    <t>Резерв по сомнительным требованиям</t>
  </si>
  <si>
    <t>1310</t>
  </si>
  <si>
    <t>Сырье и материалы</t>
  </si>
  <si>
    <t>1320</t>
  </si>
  <si>
    <t>Готовая продукция</t>
  </si>
  <si>
    <t>1330</t>
  </si>
  <si>
    <t>Товары</t>
  </si>
  <si>
    <t>1420</t>
  </si>
  <si>
    <t>Налог на добавленную стоимость</t>
  </si>
  <si>
    <t>1610</t>
  </si>
  <si>
    <t>Краткосрочные авансы выданные</t>
  </si>
  <si>
    <t>1620</t>
  </si>
  <si>
    <t>Расходы будущих периодов</t>
  </si>
  <si>
    <t>2410</t>
  </si>
  <si>
    <t>2411</t>
  </si>
  <si>
    <t>Земля</t>
  </si>
  <si>
    <t>2412</t>
  </si>
  <si>
    <t>2413</t>
  </si>
  <si>
    <t>Машины и оборудование, передаточные устройства</t>
  </si>
  <si>
    <t>2414</t>
  </si>
  <si>
    <t>Транспортные средства</t>
  </si>
  <si>
    <t>2415</t>
  </si>
  <si>
    <t>Прочие основные средства</t>
  </si>
  <si>
    <t>2421</t>
  </si>
  <si>
    <t>Амортизация зданий и сооружений</t>
  </si>
  <si>
    <t>2422</t>
  </si>
  <si>
    <t>Амортизация машин и оборудования, передаточных устройств</t>
  </si>
  <si>
    <t>2423</t>
  </si>
  <si>
    <t>Амортизация транспортных средств</t>
  </si>
  <si>
    <t>2424</t>
  </si>
  <si>
    <t>Амортизация прочих основных средств</t>
  </si>
  <si>
    <t>2730</t>
  </si>
  <si>
    <t>Прочие нематериальные активы</t>
  </si>
  <si>
    <t>2740</t>
  </si>
  <si>
    <t>Амортизация прочих нематериальных активов</t>
  </si>
  <si>
    <t>3120</t>
  </si>
  <si>
    <t>Индивидуальный подоходный налог</t>
  </si>
  <si>
    <t>3130</t>
  </si>
  <si>
    <t>3150</t>
  </si>
  <si>
    <t>Социальный налог</t>
  </si>
  <si>
    <t>3160</t>
  </si>
  <si>
    <t>Земельный налог</t>
  </si>
  <si>
    <t>3170</t>
  </si>
  <si>
    <t>Налог на транспортные средства</t>
  </si>
  <si>
    <t>3180</t>
  </si>
  <si>
    <t>Налог на имущество</t>
  </si>
  <si>
    <t>3190</t>
  </si>
  <si>
    <t>Прочие налоги</t>
  </si>
  <si>
    <t>3210</t>
  </si>
  <si>
    <t>Обязательства по социальному страхованию</t>
  </si>
  <si>
    <t>3220</t>
  </si>
  <si>
    <t>Обязательства по пенсионным отчислениям</t>
  </si>
  <si>
    <t>3261</t>
  </si>
  <si>
    <t>Обязательное медицинское страхование (отчисления)</t>
  </si>
  <si>
    <t>3270</t>
  </si>
  <si>
    <t>Обязательное медицинское страхование за контрагентов</t>
  </si>
  <si>
    <t>3310</t>
  </si>
  <si>
    <t>Краткосрочная задолженность поставщикам и подрядчикам</t>
  </si>
  <si>
    <t>3320</t>
  </si>
  <si>
    <t>Краткосрочная кредиторская задолженность дочерним организациям</t>
  </si>
  <si>
    <t>3330</t>
  </si>
  <si>
    <t>Краткосрочная кредиторская задолженность ассоциированным и совместным организациям</t>
  </si>
  <si>
    <t>3350</t>
  </si>
  <si>
    <t>Краткосрочная задолженность по оплате труда</t>
  </si>
  <si>
    <t>Прочая краткосрочная кредиторская задолженность</t>
  </si>
  <si>
    <t>3394</t>
  </si>
  <si>
    <t>Задолженность по депонированной заработной плате</t>
  </si>
  <si>
    <t>3395</t>
  </si>
  <si>
    <t>Задолженность по исполнительным листам</t>
  </si>
  <si>
    <t>3399</t>
  </si>
  <si>
    <t>Расчеты с фондами по обязательным платежам</t>
  </si>
  <si>
    <t>3430</t>
  </si>
  <si>
    <t>Краткосрочные оценочные обязательства по вознаграждениям работникам</t>
  </si>
  <si>
    <t>3510</t>
  </si>
  <si>
    <t>Краткосрочные авансы полученные</t>
  </si>
  <si>
    <t>5010</t>
  </si>
  <si>
    <t>Привилегированные акции</t>
  </si>
  <si>
    <t>5510</t>
  </si>
  <si>
    <t>Нераспределенная прибыль (непокрытый убыток) отчетного года</t>
  </si>
  <si>
    <t>5520</t>
  </si>
  <si>
    <t>Нераспределенная прибыль (непокрытый убыток) предыдущих лет</t>
  </si>
  <si>
    <t>5610</t>
  </si>
  <si>
    <t>Итоговая прибыль (итоговый убыток)</t>
  </si>
  <si>
    <t>6010</t>
  </si>
  <si>
    <t>Доход от реализации продукции и оказания услуг</t>
  </si>
  <si>
    <t>6280</t>
  </si>
  <si>
    <t>Прочие доходы</t>
  </si>
  <si>
    <t>7010</t>
  </si>
  <si>
    <t>Себестоимость реализованной продукции и оказанных услуг</t>
  </si>
  <si>
    <t>7210</t>
  </si>
  <si>
    <t>Административные расходы</t>
  </si>
  <si>
    <t>7211</t>
  </si>
  <si>
    <t>Административные расходы (идущие на вычет по КПН)</t>
  </si>
  <si>
    <t>7212</t>
  </si>
  <si>
    <t>Административные расходы  (не идущие на вычет по КПН)</t>
  </si>
  <si>
    <t>7410</t>
  </si>
  <si>
    <t>Расходы по выбытию активов</t>
  </si>
  <si>
    <t>7440</t>
  </si>
  <si>
    <t>Расходы по созданию резерва и списанию безнадежных требований</t>
  </si>
  <si>
    <t>8110</t>
  </si>
  <si>
    <t>Основное производство</t>
  </si>
  <si>
    <t>8111</t>
  </si>
  <si>
    <t>8112</t>
  </si>
  <si>
    <t>Материалы</t>
  </si>
  <si>
    <t>8113</t>
  </si>
  <si>
    <t>Оплата труда производственных рабочих</t>
  </si>
  <si>
    <t>8114</t>
  </si>
  <si>
    <t>Отчисления от оплаты труда</t>
  </si>
  <si>
    <t>8115</t>
  </si>
  <si>
    <t>Накладные расходы</t>
  </si>
  <si>
    <t>8310</t>
  </si>
  <si>
    <t>Вспомогательные производства</t>
  </si>
  <si>
    <t>8311</t>
  </si>
  <si>
    <t>8315</t>
  </si>
  <si>
    <t>8410</t>
  </si>
  <si>
    <t>8411</t>
  </si>
  <si>
    <t>8416</t>
  </si>
  <si>
    <t>Износ основных средств и амортизация нематериальных активов</t>
  </si>
  <si>
    <t>3396</t>
  </si>
  <si>
    <t>3397</t>
  </si>
  <si>
    <t>Groupping</t>
  </si>
  <si>
    <t>2018 г.</t>
  </si>
  <si>
    <t>102</t>
  </si>
  <si>
    <t>Программное обеспечение</t>
  </si>
  <si>
    <t>112</t>
  </si>
  <si>
    <t>Амортиз. программного обеспечения</t>
  </si>
  <si>
    <t>125</t>
  </si>
  <si>
    <t>Прочие основные</t>
  </si>
  <si>
    <t>134</t>
  </si>
  <si>
    <t>Износ Прочих ОС</t>
  </si>
  <si>
    <t>221</t>
  </si>
  <si>
    <t>Счета к получению</t>
  </si>
  <si>
    <t>301.1</t>
  </si>
  <si>
    <t>322</t>
  </si>
  <si>
    <t>Задолженность зависим.товарищ-ам</t>
  </si>
  <si>
    <t>333.1</t>
  </si>
  <si>
    <t>Задолженность работников и др.лиц (тенге)</t>
  </si>
  <si>
    <t>351.1</t>
  </si>
  <si>
    <t>Авансы-товарно-материальн.запасы в тенге</t>
  </si>
  <si>
    <t>352.1</t>
  </si>
  <si>
    <t>Авансы-работы и оказанные услуги в тенге</t>
  </si>
  <si>
    <t>503</t>
  </si>
  <si>
    <t>Вклады и паи</t>
  </si>
  <si>
    <t>562</t>
  </si>
  <si>
    <t>Нераспредел доход (непокрытый убыток) предыдущих лет</t>
  </si>
  <si>
    <t>571</t>
  </si>
  <si>
    <t>Итоговый доход (убыток)</t>
  </si>
  <si>
    <t>631.1</t>
  </si>
  <si>
    <t>Текущий подоход.налог к выплате резиденты РК</t>
  </si>
  <si>
    <t>633.1</t>
  </si>
  <si>
    <t>НДС к уплате резиденты РК</t>
  </si>
  <si>
    <t>635.1</t>
  </si>
  <si>
    <t>Социальный налог к уплате</t>
  </si>
  <si>
    <t>635.2</t>
  </si>
  <si>
    <t>Социальные отчисления</t>
  </si>
  <si>
    <t>636</t>
  </si>
  <si>
    <t>637</t>
  </si>
  <si>
    <t>638</t>
  </si>
  <si>
    <t>На транспорт</t>
  </si>
  <si>
    <t>639.1</t>
  </si>
  <si>
    <t>639.3</t>
  </si>
  <si>
    <t>Плата за загрязнение окружающей среды</t>
  </si>
  <si>
    <t>639.6</t>
  </si>
  <si>
    <t>Плата за пользование земельными участками</t>
  </si>
  <si>
    <t>642</t>
  </si>
  <si>
    <t>Задолженость зависим.товарищ.</t>
  </si>
  <si>
    <t>643</t>
  </si>
  <si>
    <t>Задолж.совместн-контролир.юр.лиц</t>
  </si>
  <si>
    <t>671.1</t>
  </si>
  <si>
    <t>Расчеты с поставщиками в тенге</t>
  </si>
  <si>
    <t>681.1</t>
  </si>
  <si>
    <t>ОплатаТруда Сотрудникам</t>
  </si>
  <si>
    <t>681.2</t>
  </si>
  <si>
    <t>ОплатаТруда ТрудовоеСоглашение</t>
  </si>
  <si>
    <t>686</t>
  </si>
  <si>
    <t>Расчеты по накопительному пенсионному фонду</t>
  </si>
  <si>
    <t>Прочие</t>
  </si>
  <si>
    <t>687.6</t>
  </si>
  <si>
    <t>Прочие задолженности сотрудников</t>
  </si>
  <si>
    <t>727.0</t>
  </si>
  <si>
    <t>821.1</t>
  </si>
  <si>
    <t>На затраты</t>
  </si>
  <si>
    <t>821.2</t>
  </si>
  <si>
    <t>Из прибыли</t>
  </si>
  <si>
    <t>1230</t>
  </si>
  <si>
    <t>Краткосрочная дебиторская задолженность ассоциированных и совместных организаций</t>
  </si>
  <si>
    <t>Объязательства по объязательному медицинскому страхованию (отчисления)</t>
  </si>
  <si>
    <t>Задолженность перед подотчетными лицами</t>
  </si>
  <si>
    <t>5030</t>
  </si>
  <si>
    <t>Первоначальная стоимость</t>
  </si>
  <si>
    <t>31 декабря 2017 г.</t>
  </si>
  <si>
    <t>31 декабря 2018 г.</t>
  </si>
  <si>
    <t>Здания</t>
  </si>
  <si>
    <t>ИНВЕСТИЦИОННАЯ НЕДВИЖИМОСТЬ</t>
  </si>
  <si>
    <t>Накопленный износ</t>
  </si>
  <si>
    <t>Начисленный за год</t>
  </si>
  <si>
    <t>Балансовая стоимость</t>
  </si>
  <si>
    <t>2017 г.</t>
  </si>
  <si>
    <t>НЕМАТЕРИАЛЬНЫЕ АКТИВЫ</t>
  </si>
  <si>
    <t>Право на недропользование</t>
  </si>
  <si>
    <t xml:space="preserve">Прочие </t>
  </si>
  <si>
    <t>Поступления</t>
  </si>
  <si>
    <t>Переводы из основных средств</t>
  </si>
  <si>
    <t>На 31 декабря 2017 г.</t>
  </si>
  <si>
    <t>На 31 декабря 2018 г.</t>
  </si>
  <si>
    <t>Начисленные износ</t>
  </si>
  <si>
    <t>Начисление на год</t>
  </si>
  <si>
    <t>ЗАО "Талас Голд Майнинг Компани"</t>
  </si>
  <si>
    <t>ТОО "Kazakhstan Service"</t>
  </si>
  <si>
    <t>Валюта</t>
  </si>
  <si>
    <t>Процентная ставка</t>
  </si>
  <si>
    <t>Краткосрочная часть</t>
  </si>
  <si>
    <t>Долгосрочная часть</t>
  </si>
  <si>
    <t>Структурное подразделение</t>
  </si>
  <si>
    <t>Контрагенты</t>
  </si>
  <si>
    <t>TALAS GOLD MINING COMPANY</t>
  </si>
  <si>
    <t>Казахалтын Technology ТОО</t>
  </si>
  <si>
    <t>Казахалтын Сервис (Kazakhaltyn Service) ТОО</t>
  </si>
  <si>
    <t>Ingragroup loan</t>
  </si>
  <si>
    <t>АО "Народный Банк Казахстана"</t>
  </si>
  <si>
    <t xml:space="preserve">Казахалтын ГМК АО </t>
  </si>
  <si>
    <t>Сбербанк ДБ АО филиал г. Астана</t>
  </si>
  <si>
    <t>0%-3M Libor</t>
  </si>
  <si>
    <t>0.5%</t>
  </si>
  <si>
    <t>Доллар США</t>
  </si>
  <si>
    <t>Тенге</t>
  </si>
  <si>
    <t>KZT</t>
  </si>
  <si>
    <t>USD</t>
  </si>
  <si>
    <t>ЗАЙМЫ ВЫДАННЫЕ</t>
  </si>
  <si>
    <t>Год погашения</t>
  </si>
  <si>
    <t>НАЛОГ НА ДОБАВЛЕННУЮ СТОИМОСТЬ К ВОЗМЕЩЕНИЮ</t>
  </si>
  <si>
    <t>ПРЕДОПЛАТА</t>
  </si>
  <si>
    <t>Предоплата за основные средства</t>
  </si>
  <si>
    <t>Банковская коммисия</t>
  </si>
  <si>
    <t>Минус: резерв под обесценению долгосрочной предоплаты</t>
  </si>
  <si>
    <t>Долгосрочная предоплата</t>
  </si>
  <si>
    <t>Текущая предоплата</t>
  </si>
  <si>
    <t>Предоплата за товары и услуги</t>
  </si>
  <si>
    <t>Минус: резерв под обесценению краткосрочной предоплаты</t>
  </si>
  <si>
    <t>Начисление</t>
  </si>
  <si>
    <t>Период</t>
  </si>
  <si>
    <t>Документ</t>
  </si>
  <si>
    <t>Аналитика Дт</t>
  </si>
  <si>
    <t>Аналитика Кт</t>
  </si>
  <si>
    <t>Краткосрочная предоплата</t>
  </si>
  <si>
    <t xml:space="preserve"> forSign Center ТОО</t>
  </si>
  <si>
    <t xml:space="preserve"> СаНур ИП  </t>
  </si>
  <si>
    <t xml:space="preserve"> Торговый дом Берлинский ТОО</t>
  </si>
  <si>
    <t xml:space="preserve">"Brost" ТОО </t>
  </si>
  <si>
    <t xml:space="preserve">"GREAT ENGINEERING COMPANY" ТОО </t>
  </si>
  <si>
    <t>"IRON PLAST"(АЙРОН ПЛАСТ) ТОО</t>
  </si>
  <si>
    <t>"RepSample" ТОО</t>
  </si>
  <si>
    <t>"SAMCOM Logistics международные перевозки"ТОО</t>
  </si>
  <si>
    <t xml:space="preserve">"Землемер" Пикалов Сергей Николаевич ИП </t>
  </si>
  <si>
    <t>"Компания ECOS" ТОО</t>
  </si>
  <si>
    <t>"Компания-Гео-Инвест" ТОО</t>
  </si>
  <si>
    <t>"МегаКлимат" ТОО</t>
  </si>
  <si>
    <t>"Партнер7" ТОО</t>
  </si>
  <si>
    <t>"СИБИРЬ ПЛАСТ" ТОО</t>
  </si>
  <si>
    <t>"Силумин-Восток" ТОО</t>
  </si>
  <si>
    <t>"Торговая компания  "АВТОДЕТАЛЬ" ТОО</t>
  </si>
  <si>
    <t>"Торговая сеть Казахстана" ТОО</t>
  </si>
  <si>
    <t xml:space="preserve">AAE Engineering Group ТОО </t>
  </si>
  <si>
    <t>ALEKS-Экспресс  TOO</t>
  </si>
  <si>
    <t xml:space="preserve">Allies Industrial ТОО </t>
  </si>
  <si>
    <t>ALS KazLab ТОО</t>
  </si>
  <si>
    <t>AMA FIRST ТОО</t>
  </si>
  <si>
    <t>Arena S (Арена S)  TOO</t>
  </si>
  <si>
    <t>ART SHOW TOY-DASTUR ИП</t>
  </si>
  <si>
    <t>ASSK Ltd ТОО</t>
  </si>
  <si>
    <t>Astana building company 2050 ТОО</t>
  </si>
  <si>
    <t>Atlant ИП</t>
  </si>
  <si>
    <t>BC Industry ТОО</t>
  </si>
  <si>
    <t>Best Sport ИП</t>
  </si>
  <si>
    <t>Best Work ИП</t>
  </si>
  <si>
    <t>Bigbag-Astana ТОО</t>
  </si>
  <si>
    <t>Cargadget ИП</t>
  </si>
  <si>
    <t>CDN RESOURSE LABORATORIES LTD.</t>
  </si>
  <si>
    <t xml:space="preserve">CLOTHES VISION ТОО </t>
  </si>
  <si>
    <t>Copy Art ТОО</t>
  </si>
  <si>
    <t>Corporate Business Systems ТОО</t>
  </si>
  <si>
    <t>DigiComKz ТОО</t>
  </si>
  <si>
    <t xml:space="preserve">DK Trade ТОО </t>
  </si>
  <si>
    <t>DPX Global B.V.</t>
  </si>
  <si>
    <t>EtalonSnab ТОО</t>
  </si>
  <si>
    <t>Eurasian Machinery (Евразиан Машинери) ТОО</t>
  </si>
  <si>
    <t xml:space="preserve">Gain Technology ТОО </t>
  </si>
  <si>
    <t>Garant Group ТОО</t>
  </si>
  <si>
    <t>GEO-ПРОЕКТ Оросхан Эрсултан ИП</t>
  </si>
  <si>
    <t>Gul Branda ИП</t>
  </si>
  <si>
    <t xml:space="preserve">Gulser Computers ТОО </t>
  </si>
  <si>
    <t>HEADHUNTER.KZ" (ХЕДХАНТЕР,КЕЙЗЕТ) ТОО</t>
  </si>
  <si>
    <t>Hotel Kazakhfilm ТОО</t>
  </si>
  <si>
    <t>IMPERIAL Джазалиева Бахтияра Айынханович</t>
  </si>
  <si>
    <t>INTELLPACK Емельянов Е.В. ИП</t>
  </si>
  <si>
    <t>KAINAR GROUP ТОО</t>
  </si>
  <si>
    <t>KAJET school ТОО</t>
  </si>
  <si>
    <t>Kaz Union Group</t>
  </si>
  <si>
    <t>KAZAKHSTAN METAL INDUSTRIAL COMPANY ТОО</t>
  </si>
  <si>
    <t>KazEnergoShab ТОО</t>
  </si>
  <si>
    <t>KAZPROFSAFETY ТОО</t>
  </si>
  <si>
    <t>KAZPROM AVTOMATIKA ТОО</t>
  </si>
  <si>
    <t>KAZЭРГО" ТОО "</t>
  </si>
  <si>
    <t>Krisanalyt ТОО</t>
  </si>
  <si>
    <t>KUAR LTD ТОО</t>
  </si>
  <si>
    <t>KZ Agro TOO</t>
  </si>
  <si>
    <t>Largo(Ларго) ТОО</t>
  </si>
  <si>
    <t>Leica Geosystems Kazakhstan ТОО</t>
  </si>
  <si>
    <t>Lock-Trading KZ ТОО</t>
  </si>
  <si>
    <t>Logitex-Market ТОО</t>
  </si>
  <si>
    <t>LUXGROUP ИП</t>
  </si>
  <si>
    <t>Master Team (Мастер Тим) ТОО</t>
  </si>
  <si>
    <t>MCES KZ(МКИС КЗ) ТОО</t>
  </si>
  <si>
    <t>MORGANITE SOUTH AFRICA PTY LIMITED ТОО</t>
  </si>
  <si>
    <t>NCP INTERNATIONAL LIMITED</t>
  </si>
  <si>
    <t>New Build Systems Kazakhstan ТОО</t>
  </si>
  <si>
    <t>NEW TECHNOLOGY Индивидуальный предприниматель Игна</t>
  </si>
  <si>
    <t>Nova Engineering Central AsiaТОО</t>
  </si>
  <si>
    <t>Nur Trans Kazakhstan ТОО</t>
  </si>
  <si>
    <t>Omnicomm Aster ТОО</t>
  </si>
  <si>
    <t>Pride Invest Group ТОО</t>
  </si>
  <si>
    <t xml:space="preserve">ProMS" (ПроЭМЭС)" ТОО </t>
  </si>
  <si>
    <t xml:space="preserve">PROSERVE (MAURITIUS) LIMITED </t>
  </si>
  <si>
    <t>Rivas global trading ТОО</t>
  </si>
  <si>
    <t>SM Logistic Group ТОО</t>
  </si>
  <si>
    <t>SMART BUSINESS EVENTS ИП</t>
  </si>
  <si>
    <t>SMARTOIL V</t>
  </si>
  <si>
    <t>SPB.KZ ИП</t>
  </si>
  <si>
    <t>SPECIALIZED TECHNICS ТОО</t>
  </si>
  <si>
    <t xml:space="preserve">Steel Service KZ ТОО </t>
  </si>
  <si>
    <t xml:space="preserve">STEKOLKINO ИП </t>
  </si>
  <si>
    <t>StroyEnergoTradeТОО</t>
  </si>
  <si>
    <t>Supply company (Сэплай компани) ТОО</t>
  </si>
  <si>
    <t xml:space="preserve">Technical Engineering Support Company ТОО </t>
  </si>
  <si>
    <t xml:space="preserve">TechSnabCompany ТОО </t>
  </si>
  <si>
    <t>TEGA  INDUSTRIES LIMITED</t>
  </si>
  <si>
    <t>TRACTOR PARTS -ASTANA ИП</t>
  </si>
  <si>
    <t>Trend Plus Kazakhstan ТОО</t>
  </si>
  <si>
    <t>TURKUAZ MACHINERY ТОО</t>
  </si>
  <si>
    <t>Verum" "Верум" ТОО</t>
  </si>
  <si>
    <t>Z Сервис-А ТОО</t>
  </si>
  <si>
    <t xml:space="preserve">Абзал ИП </t>
  </si>
  <si>
    <t>Абрамян Гагик Аршавирович ИП</t>
  </si>
  <si>
    <t>Абсолют-М ТОО</t>
  </si>
  <si>
    <t xml:space="preserve">Авангард Строй-Сервис ТОО </t>
  </si>
  <si>
    <t>АВЕРС-2004 ТОО</t>
  </si>
  <si>
    <t>Авиленко Николай Юрьевич ИП</t>
  </si>
  <si>
    <t>АВТОМАТИКА ТРЕЙД ТОО</t>
  </si>
  <si>
    <t>Автосервис Армада ТОО</t>
  </si>
  <si>
    <t>Агентство Недвижимости "Практик" ТОО</t>
  </si>
  <si>
    <t>Агентство-КА ТОО</t>
  </si>
  <si>
    <t>Агропромстрой ТОО</t>
  </si>
  <si>
    <t>Адахамов Муратжан Эргашевич ИП</t>
  </si>
  <si>
    <t>Азия Пром Комплект ТОО</t>
  </si>
  <si>
    <t>АзияСтартИнвест ТОО</t>
  </si>
  <si>
    <t>АзияХимСинтез ТОО</t>
  </si>
  <si>
    <t xml:space="preserve">АК Цент Микросистемс Норд ТОО       </t>
  </si>
  <si>
    <t xml:space="preserve">Академия Непрерывного Профессионального Развития </t>
  </si>
  <si>
    <t>АКВАДОКТОР ИП</t>
  </si>
  <si>
    <t>АКВАСИСТЕМ ТОО</t>
  </si>
  <si>
    <t>Акмолинская областная психиатрическая больница ГКК</t>
  </si>
  <si>
    <t>Актив Групп Плюс ТОО</t>
  </si>
  <si>
    <t>Алга Транс ТЛК ТОО</t>
  </si>
  <si>
    <t>Александров Евгений Александрович ИП</t>
  </si>
  <si>
    <t>АЛИСА+ ТОО</t>
  </si>
  <si>
    <t xml:space="preserve">Алматы Сараптама ТОО </t>
  </si>
  <si>
    <t>Алпроф-электро ТОО</t>
  </si>
  <si>
    <t>Альф Сергей Викторович ИП</t>
  </si>
  <si>
    <t>Америкэн Аппрейзэл ТОО</t>
  </si>
  <si>
    <t>Аналитик АФ ТОО</t>
  </si>
  <si>
    <t xml:space="preserve">АО "Национальный центр экспертизы и сертификации" </t>
  </si>
  <si>
    <t>АО "СК "Казахмыс"</t>
  </si>
  <si>
    <t>АО Иргиредмет</t>
  </si>
  <si>
    <t>Ар-Дари ТОО</t>
  </si>
  <si>
    <t xml:space="preserve">Аргын Тас ТОО </t>
  </si>
  <si>
    <t>АРМГРУПП ТОО</t>
  </si>
  <si>
    <t>Арсиком KZ ТОО</t>
  </si>
  <si>
    <t>АРТ ТЕХНИК ПЛЮС ТОО</t>
  </si>
  <si>
    <t>Ару Аян ТОО</t>
  </si>
  <si>
    <t>Аружан 2006 ТОО</t>
  </si>
  <si>
    <t>Арутюнян А.А. "Товары для дома"ИП</t>
  </si>
  <si>
    <t>АРЭК-Энергосбыт ТОО</t>
  </si>
  <si>
    <t xml:space="preserve">Аскаров Якупжан Арупович ИП </t>
  </si>
  <si>
    <t>Астана Ком ТОО</t>
  </si>
  <si>
    <t>Атқару Телеком және Сауда Компаниясы ТОО</t>
  </si>
  <si>
    <t>Бал-Тау.kz ТОО</t>
  </si>
  <si>
    <t xml:space="preserve">Банк Центр Кредит АО </t>
  </si>
  <si>
    <t xml:space="preserve">Батыгаев ИП </t>
  </si>
  <si>
    <t>Бейбітбекұлы О,ИП</t>
  </si>
  <si>
    <t xml:space="preserve">Бизнес Рост Индивидуальный предприниматель </t>
  </si>
  <si>
    <t xml:space="preserve">Болатбек Аян Болатбекович ИП </t>
  </si>
  <si>
    <t>Борк-Казахстан ТОО</t>
  </si>
  <si>
    <t>Бурчиц Василий Валерьянович ИП</t>
  </si>
  <si>
    <t>Васильева Евгения Сергеевна</t>
  </si>
  <si>
    <t>Васильева Татьяна Степановна  ИП</t>
  </si>
  <si>
    <t>Веир Минералс Казахстан ТОО</t>
  </si>
  <si>
    <t xml:space="preserve">Вира-Майна Казахстан  ТОО </t>
  </si>
  <si>
    <t>Вихарев ИП</t>
  </si>
  <si>
    <t>Внешторг-С ТОО</t>
  </si>
  <si>
    <t>Воздушные фильтры ТОО</t>
  </si>
  <si>
    <t>Войнов В.В  ИП</t>
  </si>
  <si>
    <t>Волков Артём Сергеевич ИП</t>
  </si>
  <si>
    <t>Волкова Галина Степановна ИП</t>
  </si>
  <si>
    <t>Все для стройки ТОО</t>
  </si>
  <si>
    <t>Гаврина Г.А. ИП</t>
  </si>
  <si>
    <t>Гарант Автосервис Plus ТОО</t>
  </si>
  <si>
    <t xml:space="preserve">Гвоздева Ольга Григорьевна ИП </t>
  </si>
  <si>
    <t>Гелиос ТОО Кокшетауский филиал</t>
  </si>
  <si>
    <t xml:space="preserve">Гео-консульт ТОО  </t>
  </si>
  <si>
    <t>Геокурс ТОО</t>
  </si>
  <si>
    <t>ГИДРО РЕШЕНИЕ ИП</t>
  </si>
  <si>
    <t>ГидроТехСнаб Астана ТОО</t>
  </si>
  <si>
    <t>ГидроТехСнаб Кокшетау ТОО</t>
  </si>
  <si>
    <t>ГКП на ПХВ "Степногорск-водоканал"</t>
  </si>
  <si>
    <t>ГКП на ПХВ "Шортанды Су"</t>
  </si>
  <si>
    <t xml:space="preserve">Глобус-С ТОО </t>
  </si>
  <si>
    <t xml:space="preserve">Гостиница Степногорск ТОО </t>
  </si>
  <si>
    <t>Госэкспертиза" РГП</t>
  </si>
  <si>
    <t>Григулевич Е.З. ИП</t>
  </si>
  <si>
    <t>Гриценко А.А. ИП</t>
  </si>
  <si>
    <t>Гришель Сергей Валериевич ИП</t>
  </si>
  <si>
    <t>Дельта и С ТОО</t>
  </si>
  <si>
    <t>Департамент земельного кадастра и технического обс</t>
  </si>
  <si>
    <t>ЕВРАЗИЙСКАЯ ЭЛЕКТРОТЕХНИЧЕСКАЯ КОМПАНИЯ ТОО</t>
  </si>
  <si>
    <t>ЕВРАЗИЯ STEEL TRADE ТОО</t>
  </si>
  <si>
    <t>Екибастуз-2007 ТОО</t>
  </si>
  <si>
    <t xml:space="preserve">Ескандыров Р.И.ИП  </t>
  </si>
  <si>
    <t xml:space="preserve">Жан Санияш Сабитовна частный нотариус </t>
  </si>
  <si>
    <t>Жильцова Евгения Леонидовна ИП</t>
  </si>
  <si>
    <t>Завод горного оборудования ТОО</t>
  </si>
  <si>
    <t>ИнфоТех &amp; Сервис ТОО</t>
  </si>
  <si>
    <t>ИП "Jet SYSTEMS"</t>
  </si>
  <si>
    <t>ИП "КиК" Яковлева Татьяна Владимировна</t>
  </si>
  <si>
    <t>ИП Алибаев Кайрат Дарибаевич</t>
  </si>
  <si>
    <t>ИП Вакутина Т.В.</t>
  </si>
  <si>
    <t>ИП Искаков К.К.</t>
  </si>
  <si>
    <t xml:space="preserve">ИП Лейман В.Е. </t>
  </si>
  <si>
    <t xml:space="preserve">ИП Лоран Раиса Николаевна </t>
  </si>
  <si>
    <t>ИП Мирошниченко Александр Александрович</t>
  </si>
  <si>
    <t>ИП Неаронский А.В."ТЭК"</t>
  </si>
  <si>
    <t xml:space="preserve">ИП Нигай Константин Александрович </t>
  </si>
  <si>
    <t>Исаев А.С.ИП</t>
  </si>
  <si>
    <t xml:space="preserve">Ишмуратов Рустам Ринадович ИП </t>
  </si>
  <si>
    <t>Казанада ТОО</t>
  </si>
  <si>
    <t>Казкоммерц полис" АО СК</t>
  </si>
  <si>
    <t>Казпочта Астанинский филиал Акционерное общество А</t>
  </si>
  <si>
    <t>КазПрофБезопасность</t>
  </si>
  <si>
    <t>КазСнабСервис-Астана ТОО</t>
  </si>
  <si>
    <t>КазСпецТрейд ТОО</t>
  </si>
  <si>
    <t xml:space="preserve">Казхимпром  ТОО </t>
  </si>
  <si>
    <t>КазХлопТорг ТОО</t>
  </si>
  <si>
    <t>КазЭнерго-1  ТОО</t>
  </si>
  <si>
    <t xml:space="preserve">Камалиденова Г.Д. ИП </t>
  </si>
  <si>
    <t xml:space="preserve">Капошко А.П ИП </t>
  </si>
  <si>
    <t>Каткова Елена Альбертовна ИП</t>
  </si>
  <si>
    <t>Келет АО</t>
  </si>
  <si>
    <t xml:space="preserve">Кенжина Ж.А. ИП </t>
  </si>
  <si>
    <t>Ким С.Н.  ИП</t>
  </si>
  <si>
    <t xml:space="preserve">Козицкая М.А. ИП </t>
  </si>
  <si>
    <t xml:space="preserve">КОЗИЦКИЙ В.Ю. ИП </t>
  </si>
  <si>
    <t>Козлова Наталья Владимировна ИП</t>
  </si>
  <si>
    <t>Козырев Алексей Анатольевич</t>
  </si>
  <si>
    <t>КОКШЕТАУ ЭНЕРГО ЦЕНТР" СТЕПНОГОРСК-ЭНЕРГО Фили ТОО</t>
  </si>
  <si>
    <t>Комашко Анатолий Викторович  ИП</t>
  </si>
  <si>
    <t xml:space="preserve">Компания Hoster.KZ ТОО </t>
  </si>
  <si>
    <t xml:space="preserve">Компания АДЛ ТОО </t>
  </si>
  <si>
    <t>Компания КокшеСтройМонтаж ТОО</t>
  </si>
  <si>
    <t>Компания ЛАЙН ТОО</t>
  </si>
  <si>
    <t>Константа KZ  ТОО</t>
  </si>
  <si>
    <t>Контейнер-Снаб  ТОО</t>
  </si>
  <si>
    <t>Копитек ТОО</t>
  </si>
  <si>
    <t>Корпорация Gulfstream ТОО</t>
  </si>
  <si>
    <t>КРЕПЕЖ.KZ ИП</t>
  </si>
  <si>
    <t xml:space="preserve">КТЖ - Грузовые перевозки АО </t>
  </si>
  <si>
    <t>Кулшаманов Д.Ж.нотариус</t>
  </si>
  <si>
    <t>Кульмагамбетов Серик Мустахимович ИП</t>
  </si>
  <si>
    <t>Кусаинова Гульнар Гинабиденовна</t>
  </si>
  <si>
    <t>ҚазАвтоЖол" АО НК</t>
  </si>
  <si>
    <t>ЛаборФарма ТОО</t>
  </si>
  <si>
    <t>Литвиненко Галина Владимировна ИП</t>
  </si>
  <si>
    <t>Лукаш ТОО</t>
  </si>
  <si>
    <t>магазин "Автозапчасти" ИП Логинов Д.И.</t>
  </si>
  <si>
    <t>МАРАЛ-САЙ ТОО</t>
  </si>
  <si>
    <t>Мартышева Татьяна Геннадьевна ИП</t>
  </si>
  <si>
    <t xml:space="preserve">Мацедон Ю.С. ИП </t>
  </si>
  <si>
    <t xml:space="preserve">Машиков Ф.М. ИП </t>
  </si>
  <si>
    <t>Машэнергопром ТОО</t>
  </si>
  <si>
    <t>МЕДИЦИНСКИЕ ГАЗОВЫЕ СИСТЕМЫ  ТОО</t>
  </si>
  <si>
    <t>Назаренко В.Н. ИП</t>
  </si>
  <si>
    <t>Наурыз-Астана ТОО</t>
  </si>
  <si>
    <t>Научно-производственная фирма Эргономика ТОО</t>
  </si>
  <si>
    <t xml:space="preserve">Научно-производственный центр "Реактив" ТОО </t>
  </si>
  <si>
    <t>Национальный центр экспертизы и сертификации Акм.ф</t>
  </si>
  <si>
    <t>Национальный центр экспертизы" КООЗ МЗ РК по Акмол</t>
  </si>
  <si>
    <t>Нестеров Александр Иванович  ИП</t>
  </si>
  <si>
    <t>Нефтяная страховая компания ФАО г.Астана</t>
  </si>
  <si>
    <t>Никитенко В.В. ИП</t>
  </si>
  <si>
    <t>Николаева Оксана Вячеславовна ИП</t>
  </si>
  <si>
    <t>Нисковских О.Д ИП</t>
  </si>
  <si>
    <t>Нур Мунай М ТОО</t>
  </si>
  <si>
    <t>НЦ Каз Энерго Стандарт ТОО</t>
  </si>
  <si>
    <t xml:space="preserve">Оборудование Строй Сервис ТОО </t>
  </si>
  <si>
    <t>Октеракт ТОО</t>
  </si>
  <si>
    <t>ООО "Алмиком"</t>
  </si>
  <si>
    <t>ООО "Взор"</t>
  </si>
  <si>
    <t>ООО "ЛАБЭКОТЕСТ"</t>
  </si>
  <si>
    <t>ООО "ТД СоюзАвтоКом"</t>
  </si>
  <si>
    <t>ООО "ФУКС ОЙЛ"</t>
  </si>
  <si>
    <t>ООО БИОНИК+</t>
  </si>
  <si>
    <t>ООО Ортес</t>
  </si>
  <si>
    <t>ООО ПКФ "Монарх"</t>
  </si>
  <si>
    <t>ООО ПроКлей Профи</t>
  </si>
  <si>
    <t>ООО РУСТЕХЭКСПО-ТРОИЦК</t>
  </si>
  <si>
    <t>ООО ЮЖУРАЛЭНЕРГО</t>
  </si>
  <si>
    <t>Орда-С ИП</t>
  </si>
  <si>
    <t xml:space="preserve">Орлов М.М. ИП </t>
  </si>
  <si>
    <t>Орхон ТОО</t>
  </si>
  <si>
    <t>Очилдиева Таджинисо Изатуллоевна ИП</t>
  </si>
  <si>
    <t>Палата предпринимателей Акмолинской области</t>
  </si>
  <si>
    <t>Пелих Леля Федоровна  ИП</t>
  </si>
  <si>
    <t>Пинчук Виталий Васильевич ИП</t>
  </si>
  <si>
    <t>Плескач Наталья Станиславовна  ИП</t>
  </si>
  <si>
    <t xml:space="preserve">ПОЖЦЕНТР 01 ТОО </t>
  </si>
  <si>
    <t>Производственная фирма "Взлёт-Казахстан"ТОО</t>
  </si>
  <si>
    <t>ПРОМДОРСТРОЙ ТОО</t>
  </si>
  <si>
    <t xml:space="preserve">Райков Виталий Александрович ИП </t>
  </si>
  <si>
    <t>Ракишева Гульнара Булатовна ИП</t>
  </si>
  <si>
    <t>РГП на ПХВ "ПВАСС" КИР и ПБ МИР РК</t>
  </si>
  <si>
    <t>РГП на ПХВ КазИнМетр КТР иММ поИиР РК</t>
  </si>
  <si>
    <t>РДТ Астанателеком- Филиал АО Казахтелеком</t>
  </si>
  <si>
    <t>РегионДорСтрой ТОО</t>
  </si>
  <si>
    <t>Резепов Сергей Геннадьевич ИП</t>
  </si>
  <si>
    <t>Рейтарова Светлана Викторовна ИП</t>
  </si>
  <si>
    <t>Реморенко Антон Валериевич ИП</t>
  </si>
  <si>
    <t>РемЭнергоМаш ТОО</t>
  </si>
  <si>
    <t>Росинструмент-Казахстан ТОО</t>
  </si>
  <si>
    <t>Рысаев С.М. ИП</t>
  </si>
  <si>
    <t>САР технология ТОО</t>
  </si>
  <si>
    <t>Сарсенбаев Ермурат Болатович</t>
  </si>
  <si>
    <t>Сателлит 24 ТОО</t>
  </si>
  <si>
    <t xml:space="preserve">СБ-МагнуМ ТОО </t>
  </si>
  <si>
    <t>Свалова  С.Ф. ИП</t>
  </si>
  <si>
    <t>Семикин Роман Анатольевич ИП</t>
  </si>
  <si>
    <t>СЕРВИС-М Колесников М.Ю.ИП</t>
  </si>
  <si>
    <t>Серегина Наталья Васильевна  ИП</t>
  </si>
  <si>
    <t>СИНХРОН ТОО</t>
  </si>
  <si>
    <t>СК Kompetenz АО</t>
  </si>
  <si>
    <t>Скиф Трейд ТОО</t>
  </si>
  <si>
    <t>Соловянская Н.Н  ИП</t>
  </si>
  <si>
    <t>СофтЭл ТОО</t>
  </si>
  <si>
    <t>Специальная металлургия ТОО</t>
  </si>
  <si>
    <t>Спецмашсервис ТОО</t>
  </si>
  <si>
    <t>Спутник LTD ТОО</t>
  </si>
  <si>
    <t xml:space="preserve">СТАТОР-М ТОО </t>
  </si>
  <si>
    <t xml:space="preserve">Степногорск Жер ИП </t>
  </si>
  <si>
    <t xml:space="preserve">Степногорск Темір Жолы ТОО </t>
  </si>
  <si>
    <t xml:space="preserve">Степногорск-Техосмотр " ИП </t>
  </si>
  <si>
    <t>Степногорск-Энергосбыт ТОО</t>
  </si>
  <si>
    <t>Степногорские аптеки ТОО</t>
  </si>
  <si>
    <t>Степногорский горно-химический комбинат ТОО</t>
  </si>
  <si>
    <t>Столичный центр"НУР"ТОО</t>
  </si>
  <si>
    <t>Страховая компания "Евразия" АО</t>
  </si>
  <si>
    <t>Строганов Артём Александрович ИП</t>
  </si>
  <si>
    <t>Строганова Любовь Анатольевна ИП</t>
  </si>
  <si>
    <t>Суханов Валерий Владимирович ИП</t>
  </si>
  <si>
    <t>Сыроешкина Ирина Николаевна ИП</t>
  </si>
  <si>
    <t>Т.Б.М.-Казахстан ТОО</t>
  </si>
  <si>
    <t>ТАПФЛО ТОО</t>
  </si>
  <si>
    <t xml:space="preserve">ТД Технол </t>
  </si>
  <si>
    <t>Тепличные Технологии Казахстана ТОО</t>
  </si>
  <si>
    <t>Теплолюкс-Казахстан ТОО</t>
  </si>
  <si>
    <t>Тех.эксперт ТОО</t>
  </si>
  <si>
    <t>ТехНаладка ТОО</t>
  </si>
  <si>
    <t>Техно Маркет Астана ТОО</t>
  </si>
  <si>
    <t>Техноавиа-Казахстан ТОО</t>
  </si>
  <si>
    <t>ТехноОпт ST ТОО</t>
  </si>
  <si>
    <t xml:space="preserve">ТОО  Industrial Market Resource </t>
  </si>
  <si>
    <t xml:space="preserve">ТОО "Ishim Group of Companies" </t>
  </si>
  <si>
    <t>ТОО "WELDING COMPANY"</t>
  </si>
  <si>
    <t>ТОО "Азия МетизЦентр"</t>
  </si>
  <si>
    <t>ТОО "Аль-Capital LTD"</t>
  </si>
  <si>
    <t>ТОО "Вулкан Азия Сервис"</t>
  </si>
  <si>
    <t xml:space="preserve">ТОО "ГЭЙТУЭЙ ВЕНЧЕРС (СиЭй)ЛТД" </t>
  </si>
  <si>
    <t>ТОО "КаР-Тел"</t>
  </si>
  <si>
    <t>ТОО "Оргстройпром"</t>
  </si>
  <si>
    <t>ТОО "ОТК-Плюс"</t>
  </si>
  <si>
    <t>ТОО "Призма оверсис"</t>
  </si>
  <si>
    <t>ТОО "ПромИнвестКазахстан"</t>
  </si>
  <si>
    <t>ТОО "Т.К.Велес"</t>
  </si>
  <si>
    <t>ТОО "ЦентрЭлектроСнаб"</t>
  </si>
  <si>
    <t>ТОО AJPro (ЭйДжиПро)</t>
  </si>
  <si>
    <t xml:space="preserve">ТОО HOLDING BROADKAST </t>
  </si>
  <si>
    <t xml:space="preserve">ТОО Nikotools </t>
  </si>
  <si>
    <t>ТОО NILOS -KAZAKHSTAN (Нилос-Казахстан)</t>
  </si>
  <si>
    <t xml:space="preserve">ТОО NT Kazakhstan </t>
  </si>
  <si>
    <t>ТОО TobolPromCompany</t>
  </si>
  <si>
    <t>ТОО Буркит Сэйфти</t>
  </si>
  <si>
    <t xml:space="preserve">ТОО Максаймандары </t>
  </si>
  <si>
    <t>ТОО МеталлоСклад-Т</t>
  </si>
  <si>
    <t>ТОО Меткан XXI век</t>
  </si>
  <si>
    <t>ТОО Проф Инструмент</t>
  </si>
  <si>
    <t>ТОО САРТАЛ Biotech</t>
  </si>
  <si>
    <t>ТОО Экобизнес</t>
  </si>
  <si>
    <t>ТОО Этус</t>
  </si>
  <si>
    <t xml:space="preserve">Торговый Дом "Astana Motors Almaty"ТОО </t>
  </si>
  <si>
    <t>Трансавиа ТОО</t>
  </si>
  <si>
    <t xml:space="preserve">Транскомнордэнерго ТОО </t>
  </si>
  <si>
    <t>Трусенко Александр Владимирович ИП</t>
  </si>
  <si>
    <t>ТССП Казахстан ТОО</t>
  </si>
  <si>
    <t>ТЦ СибирьТОО</t>
  </si>
  <si>
    <t>ТЭСС ТОО</t>
  </si>
  <si>
    <t>Управление инженерных работ в г.Кокшетау</t>
  </si>
  <si>
    <t>Учебный Центр "Зерде" ТОО</t>
  </si>
  <si>
    <t>Учреждение "Центр"Эколимит"</t>
  </si>
  <si>
    <t xml:space="preserve">Фаворит-Ст ТОО </t>
  </si>
  <si>
    <t>Федотов Андрей Валерьевич ИП</t>
  </si>
  <si>
    <t>Федурин Владимир Атикович ИП</t>
  </si>
  <si>
    <t>Филиал АО "Казахтелеком ЦРДТ</t>
  </si>
  <si>
    <t>Филиал НАО"Государственная корпорация"Правительств</t>
  </si>
  <si>
    <t>Фиш Трейд ИП</t>
  </si>
  <si>
    <t>Флит Сервис ТОО</t>
  </si>
  <si>
    <t>Формула-Качества ТОО</t>
  </si>
  <si>
    <t>Халык Life Дочерняя Компания народного Банка Казах</t>
  </si>
  <si>
    <t>Хмеленко В.В ИП</t>
  </si>
  <si>
    <t>Центр Алем С ТОО</t>
  </si>
  <si>
    <t>Центр крепежных систем ТОО</t>
  </si>
  <si>
    <t>ЦЕНТР ПРОФИ КАЗАХСТАН ТОО</t>
  </si>
  <si>
    <t>Центргаз ТОО</t>
  </si>
  <si>
    <t>Центргеоланалит ТОО</t>
  </si>
  <si>
    <t xml:space="preserve">Цеснабанк АО </t>
  </si>
  <si>
    <t>Шортандинские РЭС АО "АРЭК"</t>
  </si>
  <si>
    <t xml:space="preserve">Эгида плюс ТОО </t>
  </si>
  <si>
    <t>ЭЙР АСТАНА"  АО "</t>
  </si>
  <si>
    <t>Экспо Строй Астана  TOO</t>
  </si>
  <si>
    <t>ЭЛПРОММАШ  ТОО</t>
  </si>
  <si>
    <t>ЭнергоСтройСервис СТ ТОО</t>
  </si>
  <si>
    <t>ЭНСИ технологии ТОО</t>
  </si>
  <si>
    <t>Юридический центр "IUS" (ЮС) ТОО</t>
  </si>
  <si>
    <t>Яворский А.Б. ИП Магазин "КАНЦЛЕРЬ"</t>
  </si>
  <si>
    <t>&lt;...&gt;</t>
  </si>
  <si>
    <t>12 месяцев - Астана ТОО</t>
  </si>
  <si>
    <t>A.D.S. union ТОО</t>
  </si>
  <si>
    <t>AAP Company ТОО</t>
  </si>
  <si>
    <t>AB Energo (АБ Энерго) ТОО</t>
  </si>
  <si>
    <t>AB Solution ТОО</t>
  </si>
  <si>
    <t>ABA - construction ТОО</t>
  </si>
  <si>
    <t>ABD Company ТОО</t>
  </si>
  <si>
    <t>ACA group ТОО</t>
  </si>
  <si>
    <t>ADM Machinery &amp; Service ТОО</t>
  </si>
  <si>
    <t>ADM TYRES ТОО</t>
  </si>
  <si>
    <t>AirBest ТОО</t>
  </si>
  <si>
    <t xml:space="preserve">Aktiv Project ТОО                                                                                   </t>
  </si>
  <si>
    <t>Aleksa-Media ИП</t>
  </si>
  <si>
    <t>Allies Industrial (Аллайс Индастриал) ТОО</t>
  </si>
  <si>
    <t>Arena S ТОО</t>
  </si>
  <si>
    <t>ARK СO (АРК КО) ТОО</t>
  </si>
  <si>
    <t>Asai group ИП</t>
  </si>
  <si>
    <t>Asia kazlogistics ТОО</t>
  </si>
  <si>
    <t>ASIA-PROJECT ТОО</t>
  </si>
  <si>
    <t>Assistant SMB ТОО</t>
  </si>
  <si>
    <t>Astana Hotel Management ТОО</t>
  </si>
  <si>
    <t>Astana Motor Astana ТОО</t>
  </si>
  <si>
    <t>AsTANA wood ИП</t>
  </si>
  <si>
    <t>ASTANA Ютария ltd Производственная Инновационная компания ТОО</t>
  </si>
  <si>
    <t>ATE Consulting ТОО</t>
  </si>
  <si>
    <t>Avantgard-metall ТОО</t>
  </si>
  <si>
    <t>AVTO-REAL ТОО</t>
  </si>
  <si>
    <t>Avtoprompodshipnik ТОО</t>
  </si>
  <si>
    <t>B-Technology ТОО (BN-Invest)</t>
  </si>
  <si>
    <t>Bohnenkamp ТОО</t>
  </si>
  <si>
    <t>Brost ТОО</t>
  </si>
  <si>
    <t>BuildProject NS ТОО</t>
  </si>
  <si>
    <t>Burabay Hotel Management (Бурабай Хотел Менеджмент) ТОО</t>
  </si>
  <si>
    <t>Caspian Travel Company Astana (Каспиан Тревел Компани Астана) ТОО</t>
  </si>
  <si>
    <t>Caspian TS ТОО (Каспиан Ти Эс)</t>
  </si>
  <si>
    <t>Cella Cargo ТОО</t>
  </si>
  <si>
    <t>Central Asia Cement АО</t>
  </si>
  <si>
    <t>CERT Academy Kazakhstan (СЕРТ Академи Казахстан) ТОО</t>
  </si>
  <si>
    <t>CLOTHES VISION ТОО</t>
  </si>
  <si>
    <t>COMPAREX Kazakhstan LLP ТОО</t>
  </si>
  <si>
    <t>Computer.com ТОО</t>
  </si>
  <si>
    <t>ComTrade Product ТОО</t>
  </si>
  <si>
    <t>CSM TRADE ТОО</t>
  </si>
  <si>
    <t>Deevicom ИП</t>
  </si>
  <si>
    <t>DNB Group ТОО</t>
  </si>
  <si>
    <t>Ekkerman ИП</t>
  </si>
  <si>
    <t>Energy of Dream ТОО</t>
  </si>
  <si>
    <t>ERNES INDUSTRIAL POWER SYSTEMS ТОО</t>
  </si>
  <si>
    <t>eTrade.Kz ТОО</t>
  </si>
  <si>
    <t>EvroPrivod KZ ТОО</t>
  </si>
  <si>
    <t>ExLine ТОО</t>
  </si>
  <si>
    <t>Expertus ТОО</t>
  </si>
  <si>
    <t>ForceGuard ТОО</t>
  </si>
  <si>
    <t>GEO -ПРОЕКТ ИП</t>
  </si>
  <si>
    <t>GEPARD GROUP ТОО</t>
  </si>
  <si>
    <t>Global Mining Group ТОО</t>
  </si>
  <si>
    <t>GRAND-ES ТОО</t>
  </si>
  <si>
    <t xml:space="preserve">HEADHUNTER. KZ  (ХЕДХАНТЕР. КЕЙЗЕТ) ТОО                                                             </t>
  </si>
  <si>
    <t>HongKong Sert International Co.,Ltd</t>
  </si>
  <si>
    <t>Human Growth Kazakhstan ТОО</t>
  </si>
  <si>
    <t>HYDRAVIA ТОО</t>
  </si>
  <si>
    <t>I WIZARD ТОО</t>
  </si>
  <si>
    <t>Industrial energy jsc ТОО</t>
  </si>
  <si>
    <t>Industrial Market Resource ТОО</t>
  </si>
  <si>
    <t>InformConsulting ТОО</t>
  </si>
  <si>
    <t>ING Альянс ТОО</t>
  </si>
  <si>
    <t>Inter Tools ТОО</t>
  </si>
  <si>
    <t>Interix Group ТОО</t>
  </si>
  <si>
    <t>ITECA ТОО</t>
  </si>
  <si>
    <t>K-Company ТОО</t>
  </si>
  <si>
    <t>KAMI Construction ТОО</t>
  </si>
  <si>
    <t>KAZ T - REMA INTERNATIONAL ТОО ("КАЗ Т - РЕМА ИНТЕРНЭШНЛ")</t>
  </si>
  <si>
    <t>KazFerro ТОО</t>
  </si>
  <si>
    <t>KazXprom ТОО</t>
  </si>
  <si>
    <t>KTZ Express АО</t>
  </si>
  <si>
    <t>KULAN OIL ТОО</t>
  </si>
  <si>
    <t>KVD ТОО</t>
  </si>
  <si>
    <t>Law partners ИП</t>
  </si>
  <si>
    <t>Leica Geosystems Kazakhstan (Лейка Геосистемс Казахстан) ТОО</t>
  </si>
  <si>
    <t>LightWays ТОО</t>
  </si>
  <si>
    <t>Lokas Engineering ТОО</t>
  </si>
  <si>
    <t>Manik ИП</t>
  </si>
  <si>
    <t>MasterTeam (МастерТим) ТОО</t>
  </si>
  <si>
    <t>MCES KZ (МКИС КЗ) ТОО</t>
  </si>
  <si>
    <t>Mega Motors Astana ТОО</t>
  </si>
  <si>
    <t>MEGATEX ТОО</t>
  </si>
  <si>
    <t>METALL SOLUTIONS KAZAKHSTAN ТОО</t>
  </si>
  <si>
    <t>NEOСОМ ТОО</t>
  </si>
  <si>
    <t>NEW TECHNOLOGY ИП Игнатенко Андрей Валерьевич</t>
  </si>
  <si>
    <t xml:space="preserve">NitroK ТОО                                                                                          </t>
  </si>
  <si>
    <t>NTE ТОО</t>
  </si>
  <si>
    <t>Office-Expert.kz ТОО</t>
  </si>
  <si>
    <t>OTR TYRES ТОО</t>
  </si>
  <si>
    <t>Platus.kz  ТОО</t>
  </si>
  <si>
    <t>PNEUMATIC GROUP  ТОО</t>
  </si>
  <si>
    <t>POKARD ТОО</t>
  </si>
  <si>
    <t>Polycorp Ltd</t>
  </si>
  <si>
    <t>POSCENTER.KZ ТОО</t>
  </si>
  <si>
    <t>Professional Centre ТОО</t>
  </si>
  <si>
    <t>Progress 2016 ИП</t>
  </si>
  <si>
    <t>PROMO GROUP COMMUNICATIONS ТОО</t>
  </si>
  <si>
    <t>RAFTERTON OU FIRM</t>
  </si>
  <si>
    <t>RAIL COMMERCE (РЭЙЛ КОММЕРС) ТОО</t>
  </si>
  <si>
    <t>Roi group ТОО (РОИ Групп)</t>
  </si>
  <si>
    <t>Rosalie flowers ИП (Шегулов Д.С.)</t>
  </si>
  <si>
    <t xml:space="preserve">Sandvik Mining and Construction Kazakhstan Ltd                                                      </t>
  </si>
  <si>
    <t>Sapa Safety ТОО</t>
  </si>
  <si>
    <t>Sigma Advisors ТОО</t>
  </si>
  <si>
    <t>SINTEC ТОО</t>
  </si>
  <si>
    <t>Sitecs Group ТОО</t>
  </si>
  <si>
    <t>SK Auto group ТОО</t>
  </si>
  <si>
    <t>SKM Ltd  ТОО</t>
  </si>
  <si>
    <t>SkyBridge Invest ТОО</t>
  </si>
  <si>
    <t>SMART TRACK SYSTEMS ТОО</t>
  </si>
  <si>
    <t>Snap-groop ИП</t>
  </si>
  <si>
    <t>SNN company ТОО</t>
  </si>
  <si>
    <t>Standart ИП</t>
  </si>
  <si>
    <t>STANKO Group ТОО</t>
  </si>
  <si>
    <t>Status-ВЭД ТОО</t>
  </si>
  <si>
    <t>STROM PV ТОО</t>
  </si>
  <si>
    <t>STS  холдинг ТОО</t>
  </si>
  <si>
    <t>TA Elite Business group  ТОО</t>
  </si>
  <si>
    <t>Talas Investment Company ТОО</t>
  </si>
  <si>
    <t>TAMOZ MACHINERY (ТАМОЗ МАШИНЕРИ) ТОО</t>
  </si>
  <si>
    <t>TANTAL KZ ТОО</t>
  </si>
  <si>
    <t>TAU TOOLS ТОО</t>
  </si>
  <si>
    <t>Technodom Operator (Технодом Оператор) АО</t>
  </si>
  <si>
    <t>TehnoProm Trade ТОО</t>
  </si>
  <si>
    <t>The Boss media group ТОО</t>
  </si>
  <si>
    <t>Today Education ТОО</t>
  </si>
  <si>
    <t>TOR-UNION ТОО</t>
  </si>
  <si>
    <t>TRAVEL CLUB  KAZAKHSTAN ТОО</t>
  </si>
  <si>
    <t>Truck Engine Service ТОО</t>
  </si>
  <si>
    <t>Turkuaz Machinery ТОО</t>
  </si>
  <si>
    <t>Universal Logistics Company ТОО</t>
  </si>
  <si>
    <t>Verum (Верум) ТОО</t>
  </si>
  <si>
    <t>VITA-MARS ТОО</t>
  </si>
  <si>
    <t>WEST Z ТОО</t>
  </si>
  <si>
    <t>А-37 ТОО</t>
  </si>
  <si>
    <t>АББАСОВА ГЮНЕЛЬ ШАХМАРДАНОВНА ИП</t>
  </si>
  <si>
    <t xml:space="preserve">Абди Компани ТОО филиал г.Астана                                                                    </t>
  </si>
  <si>
    <t>Абдрахманов Ж.К</t>
  </si>
  <si>
    <t>Абдыкаликова Назгуль Тулепкызы</t>
  </si>
  <si>
    <t>Абдыкалыков Т.С. ИП</t>
  </si>
  <si>
    <t>Абенов Кайрат Казымович ИП</t>
  </si>
  <si>
    <t>АБИЛДИН НУРПЕРЗЕНТ АСКАРОВИЧ ИП</t>
  </si>
  <si>
    <t>Абильшенов Г.С. ИП</t>
  </si>
  <si>
    <t>АБРАМЯН АРШАВИР ГАГИКОВИЧ ИП</t>
  </si>
  <si>
    <t>Авангард СтройСервис ТОО</t>
  </si>
  <si>
    <t>Авдеева  Г.В. ИП</t>
  </si>
  <si>
    <t>Авеон - Север ТОО</t>
  </si>
  <si>
    <t>АВИА НПФ ТОО</t>
  </si>
  <si>
    <t>Автохозяйство ТОО</t>
  </si>
  <si>
    <t>Агросистема ООО</t>
  </si>
  <si>
    <t>Азбука Стали ТОО</t>
  </si>
  <si>
    <t>Азия 17 ТОО</t>
  </si>
  <si>
    <t>Азия Қорғау ТОО</t>
  </si>
  <si>
    <t>Азия Пром Комплект ТОО Филиал в г.Астане</t>
  </si>
  <si>
    <t>АЗИЯ-ИНВЕСТ ООО</t>
  </si>
  <si>
    <t>Азот-Взрыв АО</t>
  </si>
  <si>
    <t xml:space="preserve">Ай Ти Эс Ком ТОО                                                                                    </t>
  </si>
  <si>
    <t>АйронСнаб ТОО</t>
  </si>
  <si>
    <t>Айсин ИП (П)</t>
  </si>
  <si>
    <t>Айсин М.Б. ИП</t>
  </si>
  <si>
    <t>Акмолаводсервис и К ТОО</t>
  </si>
  <si>
    <t>Акмолинская областная психиатрическая больница ГККП</t>
  </si>
  <si>
    <t>Акмолинская распределительная электросетевая компания  АО</t>
  </si>
  <si>
    <t>Акмолинский колледж АО Казахская академия транспорта и коммуникации им.М.Тынышпаева ТОО</t>
  </si>
  <si>
    <t>Акмолинский областной ф-л Партия Нұр Отан ОО</t>
  </si>
  <si>
    <t>Акмолинское Учебно-производственное предприятие Казахтанского общества слепых ТОО</t>
  </si>
  <si>
    <t>Аксиома А ТОО</t>
  </si>
  <si>
    <t>Актуарный Консультант ТОО</t>
  </si>
  <si>
    <t>Актюбинский Завод Противопожарного Оборудования ТОО</t>
  </si>
  <si>
    <t>Алимжанова Д.Е. ИП</t>
  </si>
  <si>
    <t>Алиса+ ТОО</t>
  </si>
  <si>
    <t>Алита ТОО</t>
  </si>
  <si>
    <t>Алкис Караганда ТОО</t>
  </si>
  <si>
    <t>АЛМА-ТВ ТОО</t>
  </si>
  <si>
    <t>Алматы Кенсе ТОО</t>
  </si>
  <si>
    <t>Алмиком ООО</t>
  </si>
  <si>
    <t>АЛСИ Сервис в городе Астана ТОО</t>
  </si>
  <si>
    <t>Альф С.В ИП</t>
  </si>
  <si>
    <t>Аманбаева ИП</t>
  </si>
  <si>
    <t>АМЗ ВЕНТПРОМ ОАО</t>
  </si>
  <si>
    <t>Амир ТОО</t>
  </si>
  <si>
    <t>Амир-Security ТОО</t>
  </si>
  <si>
    <t>Амирова Г.М. ИП</t>
  </si>
  <si>
    <t>Амирова Лилия Гафировна ИНН 891211450096</t>
  </si>
  <si>
    <t>Амкодор-Астана ТОО</t>
  </si>
  <si>
    <t>АНДОСОВ Н.М. ИП</t>
  </si>
  <si>
    <t>АО Банк Центр Кредит</t>
  </si>
  <si>
    <t>АО Банк ЦентрКредит</t>
  </si>
  <si>
    <t>АО СК  Казахмыс</t>
  </si>
  <si>
    <t>Ар Нуво ТОО</t>
  </si>
  <si>
    <t>Аргус Медиа (Раша) Лимитед Компания с ограниченной ответственностью по акциям</t>
  </si>
  <si>
    <t>Арлан ИП (Уркенов А. М.)</t>
  </si>
  <si>
    <t>Армада ООО</t>
  </si>
  <si>
    <t>Армадилло Бизнес Посылка АО</t>
  </si>
  <si>
    <t>Ару-Аян ТОО</t>
  </si>
  <si>
    <t>Арутюнян Нина Александровна ИП</t>
  </si>
  <si>
    <t>Аршалы KZ ТОО</t>
  </si>
  <si>
    <t>Аршалы KZ ТОО БИН 150240006114</t>
  </si>
  <si>
    <t>АС ЭКО ГРУПП ТОО</t>
  </si>
  <si>
    <t>Астана МАЗ Центр ТОО</t>
  </si>
  <si>
    <t>АстанаМегаТел ТОО</t>
  </si>
  <si>
    <t>Астанателеком филиал АО Казахтелеком</t>
  </si>
  <si>
    <t>Атамекен Национальная палата предпринимателей Республики Казахстан</t>
  </si>
  <si>
    <t>Атамекен НС ТОО</t>
  </si>
  <si>
    <t>АТИ-Казахстан ТОО</t>
  </si>
  <si>
    <t>Аткару Телеком жане Сауда Компаниясы ТОО</t>
  </si>
  <si>
    <t>АТТ ООО</t>
  </si>
  <si>
    <t>Ахметжанова Н. Т. ИП</t>
  </si>
  <si>
    <t>АХМЕТОВ ВЛАДИСЛАВ ЗЕЙНЕТУЛЛАЕВИЧ ИП</t>
  </si>
  <si>
    <t>Ашимова Майра Мукатаевна ИП</t>
  </si>
  <si>
    <t xml:space="preserve">БАБАСОВ ДАНАТ ЕРКИНОВИЧ ИП                                                                          </t>
  </si>
  <si>
    <t>Базис-СТ ТОО</t>
  </si>
  <si>
    <t>Байлык Кожа  ИП</t>
  </si>
  <si>
    <t>Баймульдин Азамат Баймбетович ИП</t>
  </si>
  <si>
    <t>Банк ЦентрКредит ФАО РКО №6г.Степногорск</t>
  </si>
  <si>
    <t>Батыгаев Руслан Магзумулы ИП</t>
  </si>
  <si>
    <t>Батыр Детско-юношеский клуб ГККП</t>
  </si>
  <si>
    <t>БВБ-Альянс ТОО</t>
  </si>
  <si>
    <t>БВР Строй ТОО</t>
  </si>
  <si>
    <t>Бейбитшилик-2002 ТОО</t>
  </si>
  <si>
    <t>Бекбатыров Ермурат Закиевич</t>
  </si>
  <si>
    <t>БЕКДАР Акимжанова Гульнар Мухангалиевна ИП</t>
  </si>
  <si>
    <t>БелКазКомплектСервис ТОО</t>
  </si>
  <si>
    <t>Белорусская шина ТОО</t>
  </si>
  <si>
    <t>Белый Ветер KZ ТОО</t>
  </si>
  <si>
    <t>Бизнес лаборатори  автоматик технолоджи АО</t>
  </si>
  <si>
    <t>Блидченко Е.А. ИП</t>
  </si>
  <si>
    <t>Богатырь Транс ТОО</t>
  </si>
  <si>
    <t>Бухгалтерия Без Проблем ИП</t>
  </si>
  <si>
    <t>Вакутин  В.В. ИП</t>
  </si>
  <si>
    <t>Васильева Т С ИП</t>
  </si>
  <si>
    <t>Венчурная фирма ПОИСК ТОО</t>
  </si>
  <si>
    <t>Верхотуров В.В ИП</t>
  </si>
  <si>
    <t>Вестник Казцинка ТОО</t>
  </si>
  <si>
    <t>ВЕСТЭК ТОО</t>
  </si>
  <si>
    <t>Вираж Сервис Караганда ТОО</t>
  </si>
  <si>
    <t>Витафарм-С ТОО</t>
  </si>
  <si>
    <t>ВЛАДИВИД ТОО</t>
  </si>
  <si>
    <t>Власта ТОО</t>
  </si>
  <si>
    <t>Войнов В.В.  ИП</t>
  </si>
  <si>
    <t>Волков Константин Викторович ИП</t>
  </si>
  <si>
    <t>ВОРОТА АСТАНЫ ТОО</t>
  </si>
  <si>
    <t>Востокмашзавод АО</t>
  </si>
  <si>
    <t>ВостокУгольПром ТОО</t>
  </si>
  <si>
    <t>Востокэлектропривод ТОО</t>
  </si>
  <si>
    <t xml:space="preserve">ВостокЭнергоТрейд ТОО                                                                               </t>
  </si>
  <si>
    <t>ВРДТ филиала АО Казахтелеком</t>
  </si>
  <si>
    <t>Высота-НҰР KZ ТОО</t>
  </si>
  <si>
    <t>Гаврилов Н.И. ИП</t>
  </si>
  <si>
    <t>Гарант-Автосервиc Plus ТОО</t>
  </si>
  <si>
    <t>Гарант-Автосервис ТОО</t>
  </si>
  <si>
    <t>Гасанов Ю.С. ИП</t>
  </si>
  <si>
    <t>Гелиос ТОО Астанинский филиал</t>
  </si>
  <si>
    <t>Гелиос ТОО КФ</t>
  </si>
  <si>
    <t>Геобизнес ТОО</t>
  </si>
  <si>
    <t>Геокурс (Geocourse) ТОО</t>
  </si>
  <si>
    <t>ГЕОМАР НЕДРА ООО</t>
  </si>
  <si>
    <t>Геомаркшейдер ИП</t>
  </si>
  <si>
    <t>Георгиевский завод насосного оборудования ТОО</t>
  </si>
  <si>
    <t xml:space="preserve">ГЗП Атлант ТОО                                                                                      </t>
  </si>
  <si>
    <t>Гидравлика СтройДорМаш ТОО</t>
  </si>
  <si>
    <t>Гидравлика СтройДорМаш Филиал в городе Астана ТОО</t>
  </si>
  <si>
    <t>ГидроСтройМонтаж KZ ТОО</t>
  </si>
  <si>
    <t>Глобал Гидравлик ТОО</t>
  </si>
  <si>
    <t>ГМК Корунд ТОО</t>
  </si>
  <si>
    <t>Гойса Олег Степанович</t>
  </si>
  <si>
    <t>Гор Тех Пром ТОО</t>
  </si>
  <si>
    <t>ГОРМАШ ОРБИТА ТОО</t>
  </si>
  <si>
    <t>ГорМашОборудование ООО</t>
  </si>
  <si>
    <t>Горнорудная Сервисная Компания ТОО</t>
  </si>
  <si>
    <t>Горнотехнический колледж ГККП</t>
  </si>
  <si>
    <t>Горняк ЦДК ГККП</t>
  </si>
  <si>
    <t>Городская многопрофильная больница № 2 акимата г. Астаны ГКП на ПХВ</t>
  </si>
  <si>
    <t>ГорПромСнаб1 ТОО</t>
  </si>
  <si>
    <t>Гортехмаш ООО</t>
  </si>
  <si>
    <t>Гостиница Достык АО</t>
  </si>
  <si>
    <t>Государственное Учреждение Гос. Природный Парк "Бурабай"</t>
  </si>
  <si>
    <t>ГРИГУЛЕВИЧ ЕКАТЕРИНА ЗАХАРОВНА ИП</t>
  </si>
  <si>
    <t>ГринВуд ООО</t>
  </si>
  <si>
    <t>Группа Компаний ИНТЕРОЙЛ Казахстан ТОО</t>
  </si>
  <si>
    <t>Группа Магнезит ООО</t>
  </si>
  <si>
    <t>ГСК Красный Треугольник ООО</t>
  </si>
  <si>
    <t>ГУ ГНПП Бурабай УДП РК</t>
  </si>
  <si>
    <t>Гудавасов Павел Рамазанович ИП</t>
  </si>
  <si>
    <t>ГУСЕЙНОВ ИП</t>
  </si>
  <si>
    <t>Гэйтуэй Венчерс Си Эй ЛТД  ТОО</t>
  </si>
  <si>
    <t>ДАЙМЭКС ТОО Астанинский филиал</t>
  </si>
  <si>
    <t>Дассо Системс Казахстан ТОО</t>
  </si>
  <si>
    <t>Дастан-ST ТОО</t>
  </si>
  <si>
    <t xml:space="preserve">Дегтев Денис Витальевич ИП                                                                          </t>
  </si>
  <si>
    <t>Дейкун Игорь Васильевич ИП</t>
  </si>
  <si>
    <t>Делаюр ООО</t>
  </si>
  <si>
    <t>Демалыс-К  ТОО</t>
  </si>
  <si>
    <t>Демченко К.В. ИП</t>
  </si>
  <si>
    <t>Джон Тайнер и партнеры Евразия ОсОО</t>
  </si>
  <si>
    <t>ДЗК и ТОН ф-л некоммерческого АО Государственная корпорация Правительство для граждан по Акм.области</t>
  </si>
  <si>
    <t>Динамо Авто ТОО</t>
  </si>
  <si>
    <t>ДИФЕНБАХ-РУС ООО</t>
  </si>
  <si>
    <t>ДКБ Филиал АО Казахтелеком</t>
  </si>
  <si>
    <t>Довганюк Станислав Васильевич ИП</t>
  </si>
  <si>
    <t>Долженко Петр Михайлович ИП</t>
  </si>
  <si>
    <t>Доля КСК</t>
  </si>
  <si>
    <t>ДОН-АЛЬЯНС ООО</t>
  </si>
  <si>
    <t>ДХЛ Интернешнл Казахстан ТОО</t>
  </si>
  <si>
    <t>ДЮФШ Окжетпес ГКП на ПХВ</t>
  </si>
  <si>
    <t>Е-АЛЕМ ТОО</t>
  </si>
  <si>
    <t>ЕАТ ТОО</t>
  </si>
  <si>
    <t>Евразия СК АО</t>
  </si>
  <si>
    <t>Евро-подшипник ТОО</t>
  </si>
  <si>
    <t>ЕВРОЛЮКС KZ ТОО</t>
  </si>
  <si>
    <t>Единый регистратор ценных бумаг АО</t>
  </si>
  <si>
    <t>ЕЛЮБАЕВА ЛЯЗЗАТ МАРАТОВНА	ИП</t>
  </si>
  <si>
    <t>Елюбаева У.Ы. ИП</t>
  </si>
  <si>
    <t>Есил баспаханасы ТОО</t>
  </si>
  <si>
    <t>Жагалау 212 ИП</t>
  </si>
  <si>
    <t>Жан Санияш Сабитовна</t>
  </si>
  <si>
    <t>Жардем СТ ТОО</t>
  </si>
  <si>
    <t>ЖАРЫК ТОО</t>
  </si>
  <si>
    <t xml:space="preserve">Жетысу Энерготрейд ТОО                                                                              </t>
  </si>
  <si>
    <t xml:space="preserve">Жильцова Е.Л  031610632551                                                                          </t>
  </si>
  <si>
    <t>Жильцова Е.Л. ИП</t>
  </si>
  <si>
    <t>Завод Горного Оборудования ТОО</t>
  </si>
  <si>
    <t xml:space="preserve">Завод СИБПРОМОБОРУДОВАНИЕ ООО                                                                       </t>
  </si>
  <si>
    <t>ЗАО ТРИСТАР ИНВЕСТМЕНТ ХОЛДИНГС</t>
  </si>
  <si>
    <t>Зерде Учебный центр ТОО</t>
  </si>
  <si>
    <t>Зет-Техно ИП</t>
  </si>
  <si>
    <t>Зубов Н.П. ИП</t>
  </si>
  <si>
    <t>Инвестиционная строительная компания ООО</t>
  </si>
  <si>
    <t xml:space="preserve">Инком Ойл ТОО                                                                                       </t>
  </si>
  <si>
    <t>ИНСТАЛЛ Азия Групп ТОО</t>
  </si>
  <si>
    <t>Интеллектуальный Центр "ШАХМАТНАЯ ФЕДЕРАЦИЯ города Степногорска ОО</t>
  </si>
  <si>
    <t>Интеллпром ТОО</t>
  </si>
  <si>
    <t>Интелмайн ООО</t>
  </si>
  <si>
    <t xml:space="preserve">Интеррин НПП ТОО                                                                                    </t>
  </si>
  <si>
    <t>Интерьер Плюс НТ ТОО</t>
  </si>
  <si>
    <t>Инфо Тех &amp; Сервис ТОО</t>
  </si>
  <si>
    <t>Информационное агентство  Интерфакс-Казахстан ТОО</t>
  </si>
  <si>
    <t>Информационные Горные Технологии ООО</t>
  </si>
  <si>
    <t>ИнфраРесурс ТОО</t>
  </si>
  <si>
    <t xml:space="preserve">ИП СЖС Казахстан ЛТД  ТОО                                                                           </t>
  </si>
  <si>
    <t>Исин Б.М. ИП</t>
  </si>
  <si>
    <t>ИСМАИЛОВ Б Т  ИП</t>
  </si>
  <si>
    <t>КаzХолдинг производственная компания ТОО</t>
  </si>
  <si>
    <t>Каз Сервис Эксперт Проект ТОО</t>
  </si>
  <si>
    <t>КазАвтоЖол НК АО</t>
  </si>
  <si>
    <t>КАЗАХАЛТЫН LOGISTIC ТОО</t>
  </si>
  <si>
    <t>Казахский агротехнический университет имени Сакена Сейфуллина АО</t>
  </si>
  <si>
    <t>Казахский научно-исследовательский и проектный институт строительства и архитектуры АО</t>
  </si>
  <si>
    <t>Казахстан-Инвест ТОО</t>
  </si>
  <si>
    <t xml:space="preserve">Казахстанская Ассоциация природопользователей для устойчивого развития ОЮЛ                          </t>
  </si>
  <si>
    <t>Казахстанская фондовая биржа АО</t>
  </si>
  <si>
    <t>Казахстанский институт повышения квалификации по техническому регулированию, метрологии и системам м</t>
  </si>
  <si>
    <t>Казахстанский институт стандартизации и сертификации</t>
  </si>
  <si>
    <t>Казахстанский институт стандартизации и сертификации РГП</t>
  </si>
  <si>
    <t>Казахстанский научно-исследовательский институт промышленной безопасности ТОО</t>
  </si>
  <si>
    <t>Казахстанский финансово - промышленный холдинг Benefit ТОО</t>
  </si>
  <si>
    <t>Казахстанский центр метрологии ТОО</t>
  </si>
  <si>
    <t>Казахстанско-российская сталепромышленная компания ТОО</t>
  </si>
  <si>
    <t>Казахтелеком ВКО АО</t>
  </si>
  <si>
    <t>Казгеодезия РГКП</t>
  </si>
  <si>
    <t>Казкомпрессормаш ТОО</t>
  </si>
  <si>
    <t>КазМунайГаз Онимдери ТОО</t>
  </si>
  <si>
    <t>КазПластТрубаАстана ТОО</t>
  </si>
  <si>
    <t>Казпочта АФ АО Астанинский Почтамт</t>
  </si>
  <si>
    <t>КазПромКомплекс ТОО</t>
  </si>
  <si>
    <t>казпромснаб kz ТОО</t>
  </si>
  <si>
    <t>КазПромТехноСервисАстана ТОО</t>
  </si>
  <si>
    <t>КазПрофБезопасность ТОО</t>
  </si>
  <si>
    <t>КазРосЭлектро ТОО</t>
  </si>
  <si>
    <t>КазСвет Group ТОО</t>
  </si>
  <si>
    <t>КазСибЭнерго ТОО</t>
  </si>
  <si>
    <t>Казснаб-групп ТОО</t>
  </si>
  <si>
    <t>КазУТБ АО</t>
  </si>
  <si>
    <t>Казцентрэлектропровод ТОО</t>
  </si>
  <si>
    <t>КазШахтаПром ТОО</t>
  </si>
  <si>
    <t xml:space="preserve">Казыбекова Н.А.ИП                                                                                   </t>
  </si>
  <si>
    <t>КазЭлектро Инжиниринг ПК ТОО</t>
  </si>
  <si>
    <t>КазЭлектрод ТОО</t>
  </si>
  <si>
    <t xml:space="preserve">Казэлектромаш ТОО                                                                                   </t>
  </si>
  <si>
    <t>Кама-Казахстан Торговый дом ТОО</t>
  </si>
  <si>
    <t>Камминз ТОО</t>
  </si>
  <si>
    <t>Канц Veka плюс KZ ТОО</t>
  </si>
  <si>
    <t>Карабаев М.К. ИП</t>
  </si>
  <si>
    <t>КарагандаРегионТехСервис ТОО</t>
  </si>
  <si>
    <t>Карагандинский Гос. Технич. университет РГП на ПХВ</t>
  </si>
  <si>
    <t>Карат ООО</t>
  </si>
  <si>
    <t>Карремэнерго ТОО</t>
  </si>
  <si>
    <t>Каскад - 2 ПК</t>
  </si>
  <si>
    <t>КасХим ТОО</t>
  </si>
  <si>
    <t xml:space="preserve">Каткова Е.А.  ИП                                                                                    </t>
  </si>
  <si>
    <t>КГУ Областная школа-интернат для одаренных в спорте детей им. Богенбай батыра управления физ.культур</t>
  </si>
  <si>
    <t>КЕGОК АО МЭС</t>
  </si>
  <si>
    <t xml:space="preserve">Керхер ТОО                                                                                          </t>
  </si>
  <si>
    <t>Ким П.А. ИП</t>
  </si>
  <si>
    <t>Кириллов Александр Сергеевич ИП</t>
  </si>
  <si>
    <t>Киселев А.А. ИП</t>
  </si>
  <si>
    <t>КОВАЛЁВА ИП</t>
  </si>
  <si>
    <t>Козицкая М.А ИП</t>
  </si>
  <si>
    <t>Козлова Н.В. ИП</t>
  </si>
  <si>
    <t>КОЙШИБАЕВ МАРАТ СОВЕТОВИЧ</t>
  </si>
  <si>
    <t>Кокше Техстрой ТОО</t>
  </si>
  <si>
    <t>Кокше-Бетон ТОО</t>
  </si>
  <si>
    <t>Кокшетау Энерго ТОО</t>
  </si>
  <si>
    <t>Кокшетауский государственный университет имени Ш.Уалиханова РГП на ПХВ</t>
  </si>
  <si>
    <t>Колесников Андрей Борисович ИП</t>
  </si>
  <si>
    <t>Колледж Максат Учреждение</t>
  </si>
  <si>
    <t>Компания Hosting.KZ ТОО</t>
  </si>
  <si>
    <t>Компания Ас-Ай ЛТД ТОО</t>
  </si>
  <si>
    <t>Компания БИО ТОО</t>
  </si>
  <si>
    <t>КОМПАНИЯ ДРАЙВ ООО</t>
  </si>
  <si>
    <t>Компания ИнтерРусь-М АО</t>
  </si>
  <si>
    <t>Комплексные поставки  СИЗ ИП</t>
  </si>
  <si>
    <t>КомТехЦентр ТОО</t>
  </si>
  <si>
    <t>Концерн КЛГ АО</t>
  </si>
  <si>
    <t>Концерн Цесна-Астык ТОО</t>
  </si>
  <si>
    <t>Конюченко С.А. ИП</t>
  </si>
  <si>
    <t>КОПИТЕК ТОО</t>
  </si>
  <si>
    <t>Корпорация Казахмыс ТОО</t>
  </si>
  <si>
    <t>Корпорация Отель ЗАО</t>
  </si>
  <si>
    <t>Котова Э.Ф ИП</t>
  </si>
  <si>
    <t>Котро-М АО</t>
  </si>
  <si>
    <t>Котро-М ЗАО</t>
  </si>
  <si>
    <t>КПМГ Валюэйшн ТОО</t>
  </si>
  <si>
    <t>Крепёж.KZ   ИП</t>
  </si>
  <si>
    <t>КРЕПЁЖ.KZ ИП</t>
  </si>
  <si>
    <t>Кривоносов Ю.И. ИП</t>
  </si>
  <si>
    <t>КРМ КОРПОРЕЙШН ООО</t>
  </si>
  <si>
    <t>КРОКУС-М ТОО</t>
  </si>
  <si>
    <t>Кселл АО</t>
  </si>
  <si>
    <t xml:space="preserve">КТЖ-Грузовые перевозки АО                                                                           </t>
  </si>
  <si>
    <t>Кулшаманов Дуйсенгали Жилкелдиевич Частный нотариус</t>
  </si>
  <si>
    <t>Курал-Астана ТОО</t>
  </si>
  <si>
    <t>Курылыс техника ТОО</t>
  </si>
  <si>
    <t>Кыштымское машиностроительное объединение АО</t>
  </si>
  <si>
    <t>Лайн Компания  ТОО</t>
  </si>
  <si>
    <t>Лайтэк ТОО</t>
  </si>
  <si>
    <t>Лидер-сервис-НС ТОО</t>
  </si>
  <si>
    <t>ЛУКОЙЛ Лубрикантс Центральная Азия ТОО</t>
  </si>
  <si>
    <t>ЛЮЛИНА ЕЛЕНА МИХАЙЛОВНА ИП</t>
  </si>
  <si>
    <t>МАЙ ТОО</t>
  </si>
  <si>
    <t>Майбасова К. А. ИП</t>
  </si>
  <si>
    <t>МАКИШЕВА БУЛБУЛ ТАЛГАТОВНА ЧСИ</t>
  </si>
  <si>
    <t>Мартышев Евгений Сергеевич ИП</t>
  </si>
  <si>
    <t>Мартышева Татьяна Геннадьевна</t>
  </si>
  <si>
    <t>Машиностроительный завод МЕТАБ ЗАО</t>
  </si>
  <si>
    <t>Машиностроительный холдинг АО</t>
  </si>
  <si>
    <t>Медицинский университет Астана АО</t>
  </si>
  <si>
    <t xml:space="preserve">Международный Аэропорт Алматы АО                                                                    </t>
  </si>
  <si>
    <t>Международный аэропорт Астана АО</t>
  </si>
  <si>
    <t>МЕЙРАМБЕК ИП</t>
  </si>
  <si>
    <t>Мейрхат ИП</t>
  </si>
  <si>
    <t xml:space="preserve">Мерд?герСтрой ТОО                                                                                   </t>
  </si>
  <si>
    <t>Меткан ХХI век ТОО</t>
  </si>
  <si>
    <t>Меттлер Толедо Казахстан ТОО</t>
  </si>
  <si>
    <t>МетТрансТерминал ТОО</t>
  </si>
  <si>
    <t>Минбаева Улмиш Джанабаевна ИП</t>
  </si>
  <si>
    <t>Мирошниченко Александр Александрович ИП</t>
  </si>
  <si>
    <t>МИРОШНИЧЕНКО ТАТЬЯНА СЕРГЕЕВНА ЧСИ</t>
  </si>
  <si>
    <t>МИТРОФАНСКАЯ ЮЛИЯ ВЛАДИМИРОВНА</t>
  </si>
  <si>
    <t>МКА Инжиниринг ТОО</t>
  </si>
  <si>
    <t>Муканов Айдос Сагнаевич ИП</t>
  </si>
  <si>
    <t>Мукашева Айгуль Ельтоковна</t>
  </si>
  <si>
    <t xml:space="preserve">МУКАШЕВА САРКЫТ  ИП                                                                                 </t>
  </si>
  <si>
    <t>МУХИТ ГРУПП ТОО</t>
  </si>
  <si>
    <t>МЦФЭР-Казахстан ТОО</t>
  </si>
  <si>
    <t>МЫС-ОРДА ТОО</t>
  </si>
  <si>
    <t>НАЗМЕТОВА РУСИЯМ РАДИКОВНА</t>
  </si>
  <si>
    <t>Народный сберегательный банк Казахстана Акмолинский областной филиал</t>
  </si>
  <si>
    <t>Научно-производственная фирма Инновация ТОО</t>
  </si>
  <si>
    <t>Научно-производственная фирма КазТехЭнергоСервис ТОО</t>
  </si>
  <si>
    <t>Национальный центр аккредитации ТОО</t>
  </si>
  <si>
    <t>Национальный центр нейрохирургии АО</t>
  </si>
  <si>
    <t>Национальный центр экспертизы и сертификации АО Акмолинский филиал</t>
  </si>
  <si>
    <t>Национальный центр экспертизы и сертификации АО Алматинский филиал</t>
  </si>
  <si>
    <t>Национальный центр экспертизы и сертификации АО Восточно-Казахстанский филиал</t>
  </si>
  <si>
    <t>Национальный центр экспертизы и сертификации АО г.Семей</t>
  </si>
  <si>
    <t xml:space="preserve">Национальный центр экспертизы и сертификации Астанинский филиал АО                                  </t>
  </si>
  <si>
    <t>Нестеров А.И. ИП</t>
  </si>
  <si>
    <t>НИИ Травматологии и ортопедии РГП на ПХВ</t>
  </si>
  <si>
    <t>Новокузнецкий завод теплообменного оборудования ООО</t>
  </si>
  <si>
    <t>НОВОПЭК ТОО</t>
  </si>
  <si>
    <t>НПК АлГеоРитм ТОО</t>
  </si>
  <si>
    <t>НПО БашГидроМаш ООО</t>
  </si>
  <si>
    <t>НТЦ  МинСтандарт ООО</t>
  </si>
  <si>
    <t>Нур Отан Хозяйственное управление</t>
  </si>
  <si>
    <t>Нурай + ТОО</t>
  </si>
  <si>
    <t xml:space="preserve">НУРАЛИНА ГУЛЬНАЗ БАУРЖАНОВНА ИП                                                                     </t>
  </si>
  <si>
    <t>Областной центр психического здоровья ГКП на ПХВ</t>
  </si>
  <si>
    <t>Общественное объединение «Локальный профессиональный союз работников АО «ГМК Казахалтын» «Кәсіп Қаза</t>
  </si>
  <si>
    <t>Общество Красного Полумесяца Республики Казахстан ОО</t>
  </si>
  <si>
    <t>ОмегаПромТрейд ТОО</t>
  </si>
  <si>
    <t>ОО Профсоюз трудящихся ГМП РК</t>
  </si>
  <si>
    <t>ООО Спецмашкомплект</t>
  </si>
  <si>
    <t>Организация Проф раб-ов Казахалтын-ф-л ОО</t>
  </si>
  <si>
    <t>Ориент Минералс ТОО</t>
  </si>
  <si>
    <t>Орион ООО</t>
  </si>
  <si>
    <t>ОСЕРБАЕВА АЯГОЗ АМАНЖОЛОВНА ПАЙДА ИП</t>
  </si>
  <si>
    <t>Осипова Г. ИП</t>
  </si>
  <si>
    <t xml:space="preserve">Оскемен Водоканал ГКП на ПХВ                                                                        </t>
  </si>
  <si>
    <t>Островной Андрей Михайлович Частная адвокатская контора</t>
  </si>
  <si>
    <t>ОТВЕРТКА.KZ ТОО</t>
  </si>
  <si>
    <t>ОТК-Плюс ТОО</t>
  </si>
  <si>
    <t>Очилдиева Т.И ИП</t>
  </si>
  <si>
    <t>ОЮЛ Республиканская ассоциация горнодобывающих и горно металлургических предприятий</t>
  </si>
  <si>
    <t>Павлов Александр Владимирович ИП</t>
  </si>
  <si>
    <t>Павлодарский Завод Сварочного Оборудования СВАРКО ТОО</t>
  </si>
  <si>
    <t xml:space="preserve">Павлодарский Завод Сварочного Оборудования СВАРКО ТОО                                               </t>
  </si>
  <si>
    <t>Павлодарский Завод Трубопроводной Арматуры ТОО</t>
  </si>
  <si>
    <t>Павлодарский трубопрокатный завод ТОО</t>
  </si>
  <si>
    <t>Панькова М.И. ИП</t>
  </si>
  <si>
    <t>Партия Нур-Отан ОО</t>
  </si>
  <si>
    <t>Пелих Л.Ф. ИП Салон Полиграфия</t>
  </si>
  <si>
    <t>Первая Метизная Компания ТОО</t>
  </si>
  <si>
    <t>Пимашкин С.Ю. ИП</t>
  </si>
  <si>
    <t>Пинчук В.В. ИП</t>
  </si>
  <si>
    <t>ПКФ АстаСар Групп ТОО</t>
  </si>
  <si>
    <t>ПМК ДОБРЫНЯ ТОО</t>
  </si>
  <si>
    <t>ПО Кранотехника ООО</t>
  </si>
  <si>
    <t xml:space="preserve">ПОГРЕБНОВ РОМАН ВЛАДИМИРОВИЧ ИП                                                                     </t>
  </si>
  <si>
    <t>Подшипник -2007 ТОО</t>
  </si>
  <si>
    <t>Полиус СКРП ТОО</t>
  </si>
  <si>
    <t xml:space="preserve">Проектсервис ТОО                                                                                    </t>
  </si>
  <si>
    <t>Пром Текс ООО</t>
  </si>
  <si>
    <t>Промвзрыв  ТОО</t>
  </si>
  <si>
    <t>ПРОММАШ ТД ЗАО</t>
  </si>
  <si>
    <t>ПромПодшипник ТОО</t>
  </si>
  <si>
    <t>ПромСервис ИП</t>
  </si>
  <si>
    <t>ПромСпецМонтажKZ ТОО</t>
  </si>
  <si>
    <t>ПромТау KZ ТОО</t>
  </si>
  <si>
    <t>Промышленная компания Ремтехкомплект ТОО</t>
  </si>
  <si>
    <t>Промышленный привод ТОО</t>
  </si>
  <si>
    <t>Профессиональная военизированная аварийно-спасательная служба  КИРиПБ МИиР РК РГКП на ПХВ</t>
  </si>
  <si>
    <t>ПрофПластСТ ТОО</t>
  </si>
  <si>
    <t>Прохоров Валерий Александрович ИП</t>
  </si>
  <si>
    <t>Радон 86 ТОО</t>
  </si>
  <si>
    <t>Рассвет ООО</t>
  </si>
  <si>
    <t>РГП на ПХВ Жетысуский государственный университет имени Ильяса Жансугурова Мин. образ. и науки РК</t>
  </si>
  <si>
    <t>РГУ Департамент государственных доходов по ВКО КГД Мин-ва финансов РК</t>
  </si>
  <si>
    <t>РГУ УГД по городу Кокшетау ДГД по Акмолинской области</t>
  </si>
  <si>
    <t>РГУ Управление государственных доходов по Шортандинскому району</t>
  </si>
  <si>
    <t>Реактив НПЦ ТОО</t>
  </si>
  <si>
    <t>Регион Проект ТОО</t>
  </si>
  <si>
    <t>Резепов С.Г. ИП</t>
  </si>
  <si>
    <t>Ремонтно-электромеханический завод ТОО</t>
  </si>
  <si>
    <t>Республиканский учебно-методический центр гражданской защиты ТОО</t>
  </si>
  <si>
    <t>РИАПЛАСТ ООО</t>
  </si>
  <si>
    <t>Ринатэк ТОО</t>
  </si>
  <si>
    <t>РОГОВА ИРИНА АЛЕКСЕЕВНА ИП</t>
  </si>
  <si>
    <t>Рудская Юлия Николаевна ИП</t>
  </si>
  <si>
    <t>Рудэлектромаш ООО</t>
  </si>
  <si>
    <t>РУЛИКОВСКАЯТ.Ч.ИП</t>
  </si>
  <si>
    <t>Рысаев Сергей Маратович ИП</t>
  </si>
  <si>
    <t>С.П. Партнер ТОО</t>
  </si>
  <si>
    <t>Сагадиев Ринат Рафаилович ИП</t>
  </si>
  <si>
    <t>САГАДИНОВ ФАРХАД ИБРАГИМОВИЧ  ИП</t>
  </si>
  <si>
    <t>Сажина Светлана Викторовна "Зет-Техно" ИП</t>
  </si>
  <si>
    <t>САЗОНОВ ПАВЕЛ ВИКТОPОВИЧ ИП</t>
  </si>
  <si>
    <t>Сактаганов А.Ж. ИП</t>
  </si>
  <si>
    <t>Санаторий Зеленый бор ТОО</t>
  </si>
  <si>
    <t>Санаторий Мойылды АО</t>
  </si>
  <si>
    <t>Санаторий Сосновый бор ТОО</t>
  </si>
  <si>
    <t>Санкорекс-М ООО</t>
  </si>
  <si>
    <t xml:space="preserve">Саран ТОО                                                                                           </t>
  </si>
  <si>
    <t xml:space="preserve">Свалова Светлана Федоровна ИП                                                                       </t>
  </si>
  <si>
    <t>СветлогорскХимволокно ОАО</t>
  </si>
  <si>
    <t>Свешникова ИИ ИП</t>
  </si>
  <si>
    <t>СГХК ТОО</t>
  </si>
  <si>
    <t>Север Пласт Монтаж ИП (Оспанов Б. Т.)</t>
  </si>
  <si>
    <t>Семей Водоканал ГКП</t>
  </si>
  <si>
    <t>СЕМЕЙ ТАЗАЛЫК ТОО</t>
  </si>
  <si>
    <t>Семенченко Андрей Николаевич ИП</t>
  </si>
  <si>
    <t>Сервисный центр АО Агромашхолдинг АФ</t>
  </si>
  <si>
    <t>Серегина Наталия Васильевна ИП</t>
  </si>
  <si>
    <t>Силикат - К ТОО</t>
  </si>
  <si>
    <t>Силумин-Восток ТОО</t>
  </si>
  <si>
    <t>Сильченко В.Ю. ИП</t>
  </si>
  <si>
    <t>Сильченко В.Ю. ИП  ИИН 840530350380</t>
  </si>
  <si>
    <t>Синхрон ТОО</t>
  </si>
  <si>
    <t>Сити-Система ТОО</t>
  </si>
  <si>
    <t>СК-2006 ТОО</t>
  </si>
  <si>
    <t>Скаков А.А. ИП ИНН710815302035</t>
  </si>
  <si>
    <t>СКАКОВ ИП</t>
  </si>
  <si>
    <t>СМС Унистар Технолоджи ТОО</t>
  </si>
  <si>
    <t>СОБИТОВ СОБИРЖОН АБИДУЛЫ ИП</t>
  </si>
  <si>
    <t xml:space="preserve">Созидатель ООО                                                                                      </t>
  </si>
  <si>
    <t>СОЛО ЛЛП (SOLO LLP) ТОО</t>
  </si>
  <si>
    <t>СОЛОВЯНСКАЯ Н.Н. ИП</t>
  </si>
  <si>
    <t xml:space="preserve">Софт Эл ТОО                                                                                         </t>
  </si>
  <si>
    <t xml:space="preserve">Союз проектных менеджеров Республики Казахстан ОЮЛ в форме Ассоциации                               </t>
  </si>
  <si>
    <t>Союзнихром-Поставка ООО</t>
  </si>
  <si>
    <t>СоюзЭнергоАльянс ТОО</t>
  </si>
  <si>
    <t>СП Голография Kazakh-Bel ТОО</t>
  </si>
  <si>
    <t xml:space="preserve">СП КазБелАЗ ТОО                                                                                     </t>
  </si>
  <si>
    <t>Спецпромобразование ТОО</t>
  </si>
  <si>
    <t>Спецпусконаладка КТ</t>
  </si>
  <si>
    <t>СпецСанТехКомплект ТОО</t>
  </si>
  <si>
    <t>Спутник СТ ТОО</t>
  </si>
  <si>
    <t>Стальной Двор-Астана ТОО</t>
  </si>
  <si>
    <t>Степкин М С ИП</t>
  </si>
  <si>
    <t>Степкин С.Г. ИП</t>
  </si>
  <si>
    <t>Степногорск Темiр Жолы</t>
  </si>
  <si>
    <t>Степногорск Теплотранзит ТОО</t>
  </si>
  <si>
    <t>Степногорск Энергосбыт ТОО</t>
  </si>
  <si>
    <t>Степногорск Энерготранзит ТОО</t>
  </si>
  <si>
    <t>Степногорск-водоканал ГКП на ПХВ</t>
  </si>
  <si>
    <t>Степногорскавтотранс ТОО</t>
  </si>
  <si>
    <t>Степногорская городская поликлиника ГККП</t>
  </si>
  <si>
    <t>Степногорская многопрофильная городская больница ГКП на ПХВ при Упр. здр. Акмол. области (СЦГБ)</t>
  </si>
  <si>
    <t>Степногорское учреждение лесного хозяйства Управления природных ресурсов и регулирования природополь</t>
  </si>
  <si>
    <t>Строганов Артем Александрович ИП</t>
  </si>
  <si>
    <t>Строй Инвест Степногорск ТОО</t>
  </si>
  <si>
    <t xml:space="preserve">СТРОЙГОРОД ТОО                                                                                      </t>
  </si>
  <si>
    <t>Таганова Т. И. ИП</t>
  </si>
  <si>
    <t>Талдыкорганская акционерная транспортно-электросетевая компания АО</t>
  </si>
  <si>
    <t>Таможенное управление по Акмол  области</t>
  </si>
  <si>
    <t>Тандем ТОО</t>
  </si>
  <si>
    <t>Тастемир ТОО</t>
  </si>
  <si>
    <t>ТауКенӨндіруші ТОО</t>
  </si>
  <si>
    <t>Тәбәрік ТОО</t>
  </si>
  <si>
    <t>Темиртауский электрометаллургический комбинат ТОО</t>
  </si>
  <si>
    <t>Теплоэнергостройсервис ТОО</t>
  </si>
  <si>
    <t>Терекалмаз ТОО</t>
  </si>
  <si>
    <t>Терралинк Технолоджис ТОО</t>
  </si>
  <si>
    <t>Техкомплектkz ТОО</t>
  </si>
  <si>
    <t>Технологии Горного Машиностроения ООО</t>
  </si>
  <si>
    <t>Технологии информационной безопасности ТОО</t>
  </si>
  <si>
    <t>Технотабыс ТОО</t>
  </si>
  <si>
    <t>Техноцентр-Экибастуз ТОО</t>
  </si>
  <si>
    <t>Техноэталон-1 ТОО</t>
  </si>
  <si>
    <t>Техснаб Трейд ТОО</t>
  </si>
  <si>
    <t>ТехСнабЭлектрикс КПФ ТОО</t>
  </si>
  <si>
    <t>Техэнергосервис 2014 ТОО</t>
  </si>
  <si>
    <t>Титовский Ю.В ИП</t>
  </si>
  <si>
    <t>Тойшибаева Раушан Кудайбергеновна ИП</t>
  </si>
  <si>
    <t>ТОО Mining Equipment KZ</t>
  </si>
  <si>
    <t>ТОО Атлас Копко ЭйрПауэр Центральная Азия</t>
  </si>
  <si>
    <t>ТОО Казпроммедиа</t>
  </si>
  <si>
    <t>ТОО КазЦентрЭкспертиза</t>
  </si>
  <si>
    <t>ТопМайнинг ТОО</t>
  </si>
  <si>
    <t>Торговая компания АВТОДЕТАЛЬ ТОО</t>
  </si>
  <si>
    <t>Торговая компания АВТОСЕЛЬМАШ ТОО</t>
  </si>
  <si>
    <t>Торговый Дом "Кварц-Казахстан" ТОО</t>
  </si>
  <si>
    <t>Торговый Дом INTANT ТОО</t>
  </si>
  <si>
    <t>Торговый дом Автокран Лидер ТОО</t>
  </si>
  <si>
    <t>Торговый Дом Горняк ТОО</t>
  </si>
  <si>
    <t>Торговый дом Компрессор Плюс ООО</t>
  </si>
  <si>
    <t>Торговый дом Костанай-Кама ТОО</t>
  </si>
  <si>
    <t>Торговый дом Степногорский трубный завод Арыстан ТОО</t>
  </si>
  <si>
    <t>Торговый Дом Томский Лес ТОО</t>
  </si>
  <si>
    <t>Трансинжиниринг.krg ТОО</t>
  </si>
  <si>
    <t>Транскомнордэнерго ТОО</t>
  </si>
  <si>
    <t>Трейд Логистик КЗ (Trade Logistic KZ) ТОО</t>
  </si>
  <si>
    <t>Третяк А.А. ИП</t>
  </si>
  <si>
    <t>Тришин Андрей Анатольевич ИП</t>
  </si>
  <si>
    <t xml:space="preserve">ТССП Казахстан ТОО                                                                                  </t>
  </si>
  <si>
    <t>ТУМАЕВА В.С. ИП</t>
  </si>
  <si>
    <t>Турбомаш ПФ ТОО</t>
  </si>
  <si>
    <t>ТУШИНСКИЙ АЛЕКСАНДР АНАТОЛЬЕВИЧ ИП</t>
  </si>
  <si>
    <t>ТЭЛОН ТОО</t>
  </si>
  <si>
    <t xml:space="preserve">Уакбаев Н.А   ИП                                                                                    </t>
  </si>
  <si>
    <t>УК Офис-Менеджмент ТОО</t>
  </si>
  <si>
    <t>УК Сибтензоприбор ООО</t>
  </si>
  <si>
    <t>УК Электромост ТОО</t>
  </si>
  <si>
    <t>Ульянченко И.И. ИП</t>
  </si>
  <si>
    <t xml:space="preserve">Универсал ТОО                                                                                       </t>
  </si>
  <si>
    <t>Урал ТЭН ООО</t>
  </si>
  <si>
    <t>Уральская металло-трубная компания ООО</t>
  </si>
  <si>
    <t>УралЭнергоРесурс ООО</t>
  </si>
  <si>
    <t>УССО Акмолинской области</t>
  </si>
  <si>
    <t>Усть-Каменогорские Тепловые сети АО</t>
  </si>
  <si>
    <t>Ухтинский завод строительных материалов ООО</t>
  </si>
  <si>
    <t>Учебный центр  Эксперт ТОО</t>
  </si>
  <si>
    <t>Учебный Центр СпецТехПромKZ ТОО</t>
  </si>
  <si>
    <t>Ф-л НАО ГК Правительство для граждан по Акмолинской области</t>
  </si>
  <si>
    <t>Фаворит-СТ ТОО</t>
  </si>
  <si>
    <t>ФАРАБИ МУХАНБЕДИН Н.А. ИП</t>
  </si>
  <si>
    <t>Фармакон-СТ ТОО</t>
  </si>
  <si>
    <t>Федурин Владимир Атикович  ИП</t>
  </si>
  <si>
    <t>Филиал ВНИИцветмет РГП НЦ КПМС РК</t>
  </si>
  <si>
    <t xml:space="preserve">Филиал ДБ Сбербанк России в городе Астана АО                                                       </t>
  </si>
  <si>
    <t>Филиал Евротехсервис К  в городе Астана ТОО</t>
  </si>
  <si>
    <t>Филиал Корпорация Казахмыс гостинично-хозяйственный комплекс ТОО</t>
  </si>
  <si>
    <t>Филиал Отель Инком Астана ТОО</t>
  </si>
  <si>
    <t>Филиал Отель-2 Инком Астана ТОО</t>
  </si>
  <si>
    <t>Филиал ПК «ТЭКС» Астана</t>
  </si>
  <si>
    <t xml:space="preserve">Филиал РГП на ПХВ"Национальный центр экспертизы" Комитета охраны общественного здоровья Мин. здрав. </t>
  </si>
  <si>
    <t>Филиал ТОО Алси-Азия-Пейдж  в г. Астана</t>
  </si>
  <si>
    <t>Фирма WGM ТОО</t>
  </si>
  <si>
    <t>Фирма КазПромСетка ТОО</t>
  </si>
  <si>
    <t>ФОНД РАЗВИТИЯ ГОРОДА СТЕПНОГОРСКА ОФ</t>
  </si>
  <si>
    <t>Хазипов Рафаиль Сайтмагруфович ИП</t>
  </si>
  <si>
    <t>Халык-Life  АО</t>
  </si>
  <si>
    <t>Хаммер-лимитед ТОО</t>
  </si>
  <si>
    <t>Химия и Технология ТОО</t>
  </si>
  <si>
    <t>Химреактивснаб АО</t>
  </si>
  <si>
    <t>ХИСМАТУЛЛИН ЮРИЙ САГИТОВИЧ ИП</t>
  </si>
  <si>
    <t>ХОДЖАБЕКОВА АСИЯ ЖАЛГАСОВНА ИП (AVTO-PARADISE)</t>
  </si>
  <si>
    <t>Ходжанова Аисулу Сайлыбековна ИП</t>
  </si>
  <si>
    <t>Ходяков Александр Викторович ИП</t>
  </si>
  <si>
    <t>Хоз TRADE Компани ТОО</t>
  </si>
  <si>
    <t>Хон Иннокентий Борисович ИП</t>
  </si>
  <si>
    <t>Хотэл менеджмент компани ООО</t>
  </si>
  <si>
    <t>Целингидромаш ТОО</t>
  </si>
  <si>
    <t>Целингормаш ТОО</t>
  </si>
  <si>
    <t>Центр диагностики и ремонта Техэнерго 2016 ТОО</t>
  </si>
  <si>
    <t>Центр независимой оценки SERT ТОО</t>
  </si>
  <si>
    <t>Центр организации Бизнеса "Бизнес-Рост" ИП (Пинчук О.В.)</t>
  </si>
  <si>
    <t>Центр промышленного оборудования НС ТОО</t>
  </si>
  <si>
    <t>Центр профессиональной подготовки NuriKon ТОО</t>
  </si>
  <si>
    <t>Центр Содействие устойчивому развитию РК ТОО</t>
  </si>
  <si>
    <t>Центр Элит ИП</t>
  </si>
  <si>
    <t>Центральная РДТ - филиал АО "Казахтелеком"</t>
  </si>
  <si>
    <t>Центральный депозитарий ценных бумаг АО</t>
  </si>
  <si>
    <t>ЦентрТехноТорг ТОО</t>
  </si>
  <si>
    <t>Цеснабанк АО Степногорский филиал</t>
  </si>
  <si>
    <t>ЦЫГАНОВА НАТАЛЬЯ НИКОЛАЕВНА ИП</t>
  </si>
  <si>
    <t>Цюман А.Н. ИП</t>
  </si>
  <si>
    <t>Чалабаев Орынбасар Орынбекович ИП</t>
  </si>
  <si>
    <t>Частное охранно-сыскное агентство  Саланг ТОО</t>
  </si>
  <si>
    <t>Частное Учреждение Корпоративный университет Самрук-Казына</t>
  </si>
  <si>
    <t>Чернышева О.В. ИП SUNRISE</t>
  </si>
  <si>
    <t>ЧКЗ-Центр Азия  ТОО</t>
  </si>
  <si>
    <t>ШАКЕНОВ ХАДЖИМУРАТ ИРДЕНОВИЧ</t>
  </si>
  <si>
    <t>Шакижанова Жанна Муратовна   ИП</t>
  </si>
  <si>
    <t>Шинник KZ ТОО</t>
  </si>
  <si>
    <t>Шмальц А.Р ИП</t>
  </si>
  <si>
    <t>Шортандинская дезинфекция ТОО</t>
  </si>
  <si>
    <t>Шортандинская центральная районная больница ГККП</t>
  </si>
  <si>
    <t>Шортанды Су  при акимате Шортандинского района ГКП на ПХВ</t>
  </si>
  <si>
    <t>Шыгыс ТрансМашСервис ТОО</t>
  </si>
  <si>
    <t>Шыгысэнерготрейд ТОО</t>
  </si>
  <si>
    <t>Эверест-Премиум ТОО</t>
  </si>
  <si>
    <t>Эгида плюс ТОО</t>
  </si>
  <si>
    <t>Эйкос ТОО</t>
  </si>
  <si>
    <t>Эко-Алем ТОО</t>
  </si>
  <si>
    <t>ЭкоБизнес ТОО</t>
  </si>
  <si>
    <t>ЭкоЛюкс-Ас ТОО</t>
  </si>
  <si>
    <t>ЭКОС ТОО</t>
  </si>
  <si>
    <t>Эл-Кран ООО</t>
  </si>
  <si>
    <t>Эластополимет ТОО</t>
  </si>
  <si>
    <t>Электрод СК ТОО</t>
  </si>
  <si>
    <t>ЭлектроКерамика ТД ООО</t>
  </si>
  <si>
    <t>Электростройкомплект СТ ТОО</t>
  </si>
  <si>
    <t>ЭЛПРОММАШ ТОО</t>
  </si>
  <si>
    <t>ЭЛСНАБ - КЗ ТОО</t>
  </si>
  <si>
    <t>Эль-Жигер ТОО</t>
  </si>
  <si>
    <t xml:space="preserve">ЭнБиС ТОО                                                                                           </t>
  </si>
  <si>
    <t>ЭНЕРГИС ТОО</t>
  </si>
  <si>
    <t>Энерговодсервис ТОО</t>
  </si>
  <si>
    <t>Энергомашсервис ООО</t>
  </si>
  <si>
    <t>ЭнергоСтройсервис СТ ТОО</t>
  </si>
  <si>
    <t>Энерджи плюс-НС ТОО</t>
  </si>
  <si>
    <t>Энтерпрайз ТОО</t>
  </si>
  <si>
    <t>Эпирок Центральная Азия ТОО</t>
  </si>
  <si>
    <t>Эрнст энд Янг Казахстан</t>
  </si>
  <si>
    <t xml:space="preserve">Эрнст Энд Янг ТОО                                                                                   </t>
  </si>
  <si>
    <t>ЭсЭнДжи-групп ООО</t>
  </si>
  <si>
    <t>ЭТЛ ТОО</t>
  </si>
  <si>
    <t>Этус ТОО</t>
  </si>
  <si>
    <t>ЮИС-групп ТОО</t>
  </si>
  <si>
    <t xml:space="preserve">Юридическая компания ЮТА ОсОО                                                                       </t>
  </si>
  <si>
    <t>Юристы Казахстана ТОО</t>
  </si>
  <si>
    <t>Яворский А.Б.ИП</t>
  </si>
  <si>
    <t>ЯНЗ ООО</t>
  </si>
  <si>
    <t>ЯРОШ ОЛЬГА ВИКТОРОВНА ИП</t>
  </si>
  <si>
    <t>Оборотно-сальдовая ведомость по счету 1710  за 2018 г.</t>
  </si>
  <si>
    <t>Счет.Наименование Равно "Краткосрочные авансы выданные"</t>
  </si>
  <si>
    <t>1710</t>
  </si>
  <si>
    <t>Albion Group ТОО</t>
  </si>
  <si>
    <t>Alligator Kazakhstan ИП</t>
  </si>
  <si>
    <t>Arena S</t>
  </si>
  <si>
    <t>ASEM.KZ ТОО</t>
  </si>
  <si>
    <t>Astana motor Astana</t>
  </si>
  <si>
    <t>Astana Tabvs Group</t>
  </si>
  <si>
    <t>GPS СЕРВИС ТОО</t>
  </si>
  <si>
    <t>Green Which Степногорск ТОО</t>
  </si>
  <si>
    <t>HEADHUNTER,KZ  ХЕДХАНТЕР.КЕЙЗЕТ ТОО</t>
  </si>
  <si>
    <t xml:space="preserve">ITP Mining </t>
  </si>
  <si>
    <t>KazTACHOnet ТОО</t>
  </si>
  <si>
    <t>KMD HOLDING ТОО</t>
  </si>
  <si>
    <t>NEW  TECHNOLOGY  ИП</t>
  </si>
  <si>
    <t>Ruba Technology Астана</t>
  </si>
  <si>
    <t>Sand Way ИП</t>
  </si>
  <si>
    <t>Soft  Product  ТОО</t>
  </si>
  <si>
    <t>STANDART ИП</t>
  </si>
  <si>
    <t>Targim Truck ИП Арчаков А.М-Б</t>
  </si>
  <si>
    <t>TrackProKazakhstan</t>
  </si>
  <si>
    <t>TRACTOR PARTS ASTANA</t>
  </si>
  <si>
    <t>Truck Engine Service</t>
  </si>
  <si>
    <t>Авантаж Сервис ТОО</t>
  </si>
  <si>
    <t>Авантаж Трейд ТОО</t>
  </si>
  <si>
    <t>Авдеева Галина Владимировна ИП</t>
  </si>
  <si>
    <t>Авто СӘТ ИП</t>
  </si>
  <si>
    <t>Автокран КазГрупп ТОО</t>
  </si>
  <si>
    <t>Автоспектр ТОО</t>
  </si>
  <si>
    <t>Автостеклоцентр-Астана ТОО</t>
  </si>
  <si>
    <t>Агродеталь KZ ТОО</t>
  </si>
  <si>
    <t>АЗС Комплект КЗ</t>
  </si>
  <si>
    <t>Айганов Е.Е</t>
  </si>
  <si>
    <t>АЙСИН М.Б ИП</t>
  </si>
  <si>
    <t>Айтжанова Жанат Алматовна ИП</t>
  </si>
  <si>
    <t>Аккумуляторный  центр БАРС ТОО</t>
  </si>
  <si>
    <t>Алхастов Асланбек Замбекович ИП</t>
  </si>
  <si>
    <t>Альтаир ТОО</t>
  </si>
  <si>
    <t>АруМа Жусупкызы Гульнур. ИП</t>
  </si>
  <si>
    <t>Байменов Нурлыбек Бахтиярович ИП</t>
  </si>
  <si>
    <t>Батыгаев Руслан Магзумулы</t>
  </si>
  <si>
    <t>БЕКЕЖАНОВ К.С  ИП</t>
  </si>
  <si>
    <t>Беленков Д.В. ИП</t>
  </si>
  <si>
    <t>Березницкий Александр Владимирович ИП</t>
  </si>
  <si>
    <t>Беркут плюс  ТОО</t>
  </si>
  <si>
    <t>Бит Астана ТОО</t>
  </si>
  <si>
    <t>Брылякова А.Ю.</t>
  </si>
  <si>
    <t>Букреева О.С. ИП</t>
  </si>
  <si>
    <t>Варавин Александр Николаевич</t>
  </si>
  <si>
    <t>ВЕРЕСКИН. ИП</t>
  </si>
  <si>
    <t>Винокурова Л.Г. ИП</t>
  </si>
  <si>
    <t>Войнов Василий Васильевич ИП</t>
  </si>
  <si>
    <t>Вотчал Анатолий Кондратьевич ИП</t>
  </si>
  <si>
    <t>Высоцкая Татьяна Алексеевна ИП</t>
  </si>
  <si>
    <t>Гах Сергей Мирославович ИП</t>
  </si>
  <si>
    <t>Гильманов Б.Б. ИП</t>
  </si>
  <si>
    <t>Григулевич. ИП</t>
  </si>
  <si>
    <t>Дегтев Денис Витальевич ИП</t>
  </si>
  <si>
    <t>Дирекция платных авто дорог КазАвтоЖол НК АО</t>
  </si>
  <si>
    <t>ДТЛ ТОО</t>
  </si>
  <si>
    <t>Дюсенгалиева А.Д .ИП</t>
  </si>
  <si>
    <t>ЕВРАЗИЯ  СТРАХОВАЯ КОМПАНИЯ</t>
  </si>
  <si>
    <t>Жердем СТ ТОО</t>
  </si>
  <si>
    <t>Инвестиционный дом "IVM"</t>
  </si>
  <si>
    <t>Казахмыс АО Страховая компания</t>
  </si>
  <si>
    <t>Казпочта</t>
  </si>
  <si>
    <t>Казыбекова Н.А. ИП</t>
  </si>
  <si>
    <t>КАМАВТО ТОО</t>
  </si>
  <si>
    <t>Камминз Дизель Ремонт</t>
  </si>
  <si>
    <t>Каскад-2 ПК</t>
  </si>
  <si>
    <t>Кенжина Ж.А. ИП</t>
  </si>
  <si>
    <t>КЕРХЕР  ТОО</t>
  </si>
  <si>
    <t>Ковалёва Е.Н ИП</t>
  </si>
  <si>
    <t>Козицкая Марина Андреевна ИП</t>
  </si>
  <si>
    <t>Козицкий Владимир Юрьевич ИП</t>
  </si>
  <si>
    <t>Кокшетауский филиал ТОО "Гелиос"</t>
  </si>
  <si>
    <t>Компания АСКОМ ТОО</t>
  </si>
  <si>
    <t>Компания Би Ойл ТОО</t>
  </si>
  <si>
    <t>Конюченко С.А ИП</t>
  </si>
  <si>
    <t>Копылова О.В. ИП</t>
  </si>
  <si>
    <t>Лейман Владимир Евгеньевич ИП</t>
  </si>
  <si>
    <t>Логинов Дмитрий Иванович "Магазин Автозапчасти" ИП</t>
  </si>
  <si>
    <t>Люлин Александр Иванович</t>
  </si>
  <si>
    <t>Люлина Елена Михайловна ИП</t>
  </si>
  <si>
    <t>Мартышева Т.Г.ИП</t>
  </si>
  <si>
    <t>Мукашева Саркыт ИП</t>
  </si>
  <si>
    <t>Назаренко В.Н   ИП</t>
  </si>
  <si>
    <t>Науменко Татьяна Николаевна ИП</t>
  </si>
  <si>
    <t>Национальный центр экспертизы и сертификации КФАО</t>
  </si>
  <si>
    <t>Ни Роберт Терентьевич ИП</t>
  </si>
  <si>
    <t>Паньков Тарас Александрович ИП</t>
  </si>
  <si>
    <t>Панькова Марина Ивановна ИП</t>
  </si>
  <si>
    <t>Пелих Лёля Федоровна ИП</t>
  </si>
  <si>
    <t>Петрова Т.Н ИП</t>
  </si>
  <si>
    <t>Пимашкин Сергей Юрьевич ИП</t>
  </si>
  <si>
    <t>Плотников Виталий Владимирович ИП</t>
  </si>
  <si>
    <t>Романенко Константин Владимирович ИП</t>
  </si>
  <si>
    <t>Рыжкова С.И.ИП</t>
  </si>
  <si>
    <t>Савицкий Иван Владимирович ИП</t>
  </si>
  <si>
    <t>Сагадиев Р.Р. ИП</t>
  </si>
  <si>
    <t>Свалова Светлана Федоровна ИП</t>
  </si>
  <si>
    <t>СВС-АСТАНА ТОО</t>
  </si>
  <si>
    <t>Серёгина Н.В ИП</t>
  </si>
  <si>
    <t>Сильченко Владислав  Юрьевич ИП</t>
  </si>
  <si>
    <t>Соловьянов Виктор Павлович ИП</t>
  </si>
  <si>
    <t>Соловянская Наталья Николаевна ИП</t>
  </si>
  <si>
    <t>СПЕЦ-АВТО ИП</t>
  </si>
  <si>
    <t>Стёпкин Максим Сергеевич ИП</t>
  </si>
  <si>
    <t>Сычев Юрий Васильевич</t>
  </si>
  <si>
    <t>ТАХОСЕРВИС ПЛЮС  ТОО</t>
  </si>
  <si>
    <t>ТехноОптSТ ТОО</t>
  </si>
  <si>
    <t>Торговая компания "АВТОСЕЛЬМАШ"</t>
  </si>
  <si>
    <t>Торговая компания Автодеталь ТОО</t>
  </si>
  <si>
    <t>Фрейман А.А ИП</t>
  </si>
  <si>
    <t>ФУ-ЯО ТОО</t>
  </si>
  <si>
    <t>Халык-Life АО Дочерняя компания Н.банка</t>
  </si>
  <si>
    <t>Центр Организации Бизнеса " Бизнес рост" ИП</t>
  </si>
  <si>
    <t>Чадаева Елена Григорьевна ИП</t>
  </si>
  <si>
    <t>Шуақ ИП</t>
  </si>
  <si>
    <t>Шумейко Валентина Никоалевна ИП</t>
  </si>
  <si>
    <t>Эльвейн Валерий Александрович ИП</t>
  </si>
  <si>
    <t>Ярцева Нина Викторовна</t>
  </si>
  <si>
    <t>Незавершенное производство (по наименьшей из себестоимости и чистой стоимости реализации)</t>
  </si>
  <si>
    <t>Сырье и расходные материалы (по наименьшей из себестоимости и чистой возможной цене продажи)</t>
  </si>
  <si>
    <t>Готовая продукция (по наименьшей из себестоимости и чистой возможной цене продажи)</t>
  </si>
  <si>
    <t>1310 Сырье и материалы</t>
  </si>
  <si>
    <t>1320 Готовая продукция</t>
  </si>
  <si>
    <t>1330 Товары</t>
  </si>
  <si>
    <t>ТОРГОВАЯ И ПРОЧАЯ ДЕБИТОРСКАЯ ЗАДОЛЖЕННОСТЬ</t>
  </si>
  <si>
    <t>ТОВАРНО-МАТЕРИАЛЬНЫЕ ЗАПАСЫ</t>
  </si>
  <si>
    <t>Торговая дебиторская задолженность связанных сторон</t>
  </si>
  <si>
    <t>Торговая дебиторская задолженность третьих сторон</t>
  </si>
  <si>
    <t>Прочая дебиторская задолженность</t>
  </si>
  <si>
    <t>Изменение в учетной политике</t>
  </si>
  <si>
    <t>Российский рубль</t>
  </si>
  <si>
    <t>Налог на добычу полезных ископаемых (НДПИ), подлежащий к возмещению</t>
  </si>
  <si>
    <t>Прочие налоговые активы</t>
  </si>
  <si>
    <t>Минус: резерв по обесценению НДПИ, подлежащего к возмещению</t>
  </si>
  <si>
    <t>ПРОЧИЕ НЕФИНАНСОВЫЕ АКТИВЫ</t>
  </si>
  <si>
    <t>Денежные средства на сберегательных счетах</t>
  </si>
  <si>
    <t>Денежные средства на карт-счетах</t>
  </si>
  <si>
    <t>Наличность в кассе</t>
  </si>
  <si>
    <t>Прочие долгосрочные активы</t>
  </si>
  <si>
    <t>Аккредитив</t>
  </si>
  <si>
    <t xml:space="preserve"> Account #</t>
  </si>
  <si>
    <t>Dr</t>
  </si>
  <si>
    <t>Cr</t>
  </si>
  <si>
    <t>OB @ 01/01/2018</t>
  </si>
  <si>
    <t>CB @ 31/12/2018</t>
  </si>
  <si>
    <t>1020 Денежные средства в пути</t>
  </si>
  <si>
    <t>1010 Денежные средства в кассе</t>
  </si>
  <si>
    <t>1021 Денежные средства в пути в тенге</t>
  </si>
  <si>
    <t>1030 Денежные средства на текущих банковских счетах</t>
  </si>
  <si>
    <t>Евро</t>
  </si>
  <si>
    <t>Минус: резерв на ожидаемые кредитные убытки</t>
  </si>
  <si>
    <t>EUR</t>
  </si>
  <si>
    <t>RUB</t>
  </si>
  <si>
    <t>GBP</t>
  </si>
  <si>
    <t>АКЦИОНЕРНЫЙ КАПИТАЛ</t>
  </si>
  <si>
    <t xml:space="preserve">На 1 января </t>
  </si>
  <si>
    <t>Выпуск дополнительных простых акций</t>
  </si>
  <si>
    <t>ЗАЙМЫ</t>
  </si>
  <si>
    <t xml:space="preserve">Валюта </t>
  </si>
  <si>
    <t>Номинальная процентная ставка</t>
  </si>
  <si>
    <t>31 декабря 2017 года</t>
  </si>
  <si>
    <t>31 декабря 2018 года</t>
  </si>
  <si>
    <t>9.18%</t>
  </si>
  <si>
    <t>1.55%</t>
  </si>
  <si>
    <t>2019-2021</t>
  </si>
  <si>
    <t>Итого долгосрочные</t>
  </si>
  <si>
    <t>Итого краткосрочные</t>
  </si>
  <si>
    <t>ТОРГОВАЯ И ПРОЧАЯ КРЕДИТОРСКАЯ ЗАДОЛЖЕННОСТЬ</t>
  </si>
  <si>
    <t>Обязательства за покупку оборудования</t>
  </si>
  <si>
    <t>Торговая кредиторская задолженность третьим сторонам</t>
  </si>
  <si>
    <t>Резерв по неиспользованным отпускам</t>
  </si>
  <si>
    <t>Торговая кредиторская задолженность связанным сторонам</t>
  </si>
  <si>
    <t>Задолженность перед работниками</t>
  </si>
  <si>
    <t>Прочая кредиторская задолженность</t>
  </si>
  <si>
    <t>AAEngineering Group ТОО</t>
  </si>
  <si>
    <t>Atlas Copco Rock Drills AB</t>
  </si>
  <si>
    <t>Эпирок Рок Дриллз АБ</t>
  </si>
  <si>
    <t>ОЦЕНОЧНЫЕ ОБЯЗАТЕЛЬСТВА</t>
  </si>
  <si>
    <t>2017 год</t>
  </si>
  <si>
    <t>2018 год</t>
  </si>
  <si>
    <t>Изменение в оценке</t>
  </si>
  <si>
    <t>ПРОЧИЕ ФИНАНСОВЫЕ ОБЯЗАТЕЛЬСТВА</t>
  </si>
  <si>
    <t>Социальные обязательства</t>
  </si>
  <si>
    <t>Выбытия</t>
  </si>
  <si>
    <t>Земельные участки</t>
  </si>
  <si>
    <t>Установки, машины и оборудование</t>
  </si>
  <si>
    <t>Прочее</t>
  </si>
  <si>
    <t>Незавершенное строительство</t>
  </si>
  <si>
    <t>Горноподготовительные работы</t>
  </si>
  <si>
    <t>Накопленный износ и обесценение</t>
  </si>
  <si>
    <t>ДОЛГОСРОЧНАЯ</t>
  </si>
  <si>
    <t>КРАТКОСРОЧНАЯ</t>
  </si>
  <si>
    <t>ПРОЧИЕ НЕФИНАНСОВЫЕ ОБЯЗАТЕЛЬСТВА</t>
  </si>
  <si>
    <t>Авансы полученные</t>
  </si>
  <si>
    <t>Налог на добычу полезных ископаемых к уплате</t>
  </si>
  <si>
    <t>Прочие налоги к уплате</t>
  </si>
  <si>
    <t>Обязательства по возмещение исторических затрат</t>
  </si>
  <si>
    <t>Минус: краткосрочная часть</t>
  </si>
  <si>
    <t>ДОХОД ОТ РЕАЛИЗАЦИИ ПРОДУКЦИИ</t>
  </si>
  <si>
    <t>Доход от продажи золота</t>
  </si>
  <si>
    <t>Доход от продажи серебра</t>
  </si>
  <si>
    <t>Анализ счета: 5610</t>
  </si>
  <si>
    <t>С кред. счетов</t>
  </si>
  <si>
    <t>В дебет счетов</t>
  </si>
  <si>
    <t>В валюте</t>
  </si>
  <si>
    <t>5710</t>
  </si>
  <si>
    <t>5600</t>
  </si>
  <si>
    <t>6000</t>
  </si>
  <si>
    <t>6200</t>
  </si>
  <si>
    <t>6290</t>
  </si>
  <si>
    <t>7480</t>
  </si>
  <si>
    <t>КОНСОЛИДИРОВАННЫЙ ОТЧЕТ ОБ ИЗМЕНЕНИЯХ В КАПИТАЛЕ</t>
  </si>
  <si>
    <t>На 31 декабря 2017 года</t>
  </si>
  <si>
    <t>Прибыль за год</t>
  </si>
  <si>
    <t>Менее 3 месяцев</t>
  </si>
  <si>
    <t>СЕБЕСТОИМОСТЬ РЕАЛИЗОВАННОЙ ПРОДУКЦИИ</t>
  </si>
  <si>
    <t xml:space="preserve">Расходы по оплате труда </t>
  </si>
  <si>
    <t>Износ и амортизация</t>
  </si>
  <si>
    <t>Электроэнергия</t>
  </si>
  <si>
    <t>Услуги по буровым, взрывным и прочим работам</t>
  </si>
  <si>
    <t>Услуги охраны</t>
  </si>
  <si>
    <t>Ремонт и обслуживание</t>
  </si>
  <si>
    <t>Налог на добычу полезных ископаемых</t>
  </si>
  <si>
    <t>Изменение в готовой продукции и незавершенном производстве</t>
  </si>
  <si>
    <t>Итого производственные затраты</t>
  </si>
  <si>
    <t>Итого себестоимость релизованной продукции</t>
  </si>
  <si>
    <t>ОБЩИЕ И АДМИНИСТРАТИВНЫЕ РАСХОДЫ</t>
  </si>
  <si>
    <t>Расходы по оплате труда</t>
  </si>
  <si>
    <t>Транспортные расходы</t>
  </si>
  <si>
    <t>Спонсорская помощь</t>
  </si>
  <si>
    <t>Расходы по выполнению социальных обязательств</t>
  </si>
  <si>
    <t>Професиональные услуги</t>
  </si>
  <si>
    <t>Налоги помимо подоходного налога</t>
  </si>
  <si>
    <t>Банковские услуги</t>
  </si>
  <si>
    <t>Аренда</t>
  </si>
  <si>
    <t>Штрафы и пени</t>
  </si>
  <si>
    <t>Коммунальные расходы</t>
  </si>
  <si>
    <t>Содержание непрофильных активов</t>
  </si>
  <si>
    <t>ПРОЧИЕ ОПЕРАЦИОННЫЕ ДОХОДЫ И РАСХОДЫ</t>
  </si>
  <si>
    <t>Доход от операционной аренды</t>
  </si>
  <si>
    <t>ДОХОДЫ</t>
  </si>
  <si>
    <t>РАСХОДЫ</t>
  </si>
  <si>
    <t>Расходы по поддержанию непроизводственных объектов</t>
  </si>
  <si>
    <t>Расходы от покупки иностранной валюты</t>
  </si>
  <si>
    <t>Расходы столовой</t>
  </si>
  <si>
    <t>Прочие расходы</t>
  </si>
  <si>
    <t>Долгорочная предоплата</t>
  </si>
  <si>
    <t>ФИНАНСОВЫЕ ДОХОДЫ И РАСХОДЫ</t>
  </si>
  <si>
    <t>Процентный доход по краткосрочным депозитам</t>
  </si>
  <si>
    <t>Процентный доход по займам выданным</t>
  </si>
  <si>
    <t>Амортизация дисконта по займам от связанной стороны</t>
  </si>
  <si>
    <t>Процентные расходы по кредитам и займам</t>
  </si>
  <si>
    <t>Амортизация дисконта по долгосрочной задолженности</t>
  </si>
  <si>
    <t>Амортизация дисконта по резерву на возмещение исторических затрат</t>
  </si>
  <si>
    <t>зап.части к оборудованию</t>
  </si>
  <si>
    <t>проектные услуги</t>
  </si>
  <si>
    <t>услуги по аренде техники</t>
  </si>
  <si>
    <t>уголm активированный, метабисульфит натрия, известь негашеная</t>
  </si>
  <si>
    <t>запчасти</t>
  </si>
  <si>
    <t>услуги по оценке</t>
  </si>
  <si>
    <t>услуги по анализу</t>
  </si>
  <si>
    <t>ТМЗ</t>
  </si>
  <si>
    <t>услуги по аренде здания</t>
  </si>
  <si>
    <t>эл.энергия</t>
  </si>
  <si>
    <t>услуги</t>
  </si>
  <si>
    <t>ГСМ</t>
  </si>
  <si>
    <t>услуги по пров.анализов</t>
  </si>
  <si>
    <t>изыскательные работы</t>
  </si>
  <si>
    <t>долгосрочный авансы</t>
  </si>
  <si>
    <t>Классификация</t>
  </si>
  <si>
    <t>краткосрочные авансы</t>
  </si>
  <si>
    <t>Услуги по замене блока цилиндров</t>
  </si>
  <si>
    <t>актуатор тайминговый  4 шт</t>
  </si>
  <si>
    <t>турбокомпрессор  1 шт</t>
  </si>
  <si>
    <t>ОС</t>
  </si>
  <si>
    <t>итого</t>
  </si>
  <si>
    <t>Карточка счета 2184 за 2018 г.</t>
  </si>
  <si>
    <t>Подразделение В группе "Головное подразделение; АО "ГМК Казахалтын" (офис); ВК Филиал АО "ГМК Казахалтын"; Представительство г. Алматы; Представительство г. Астана; Филиал-рудник Аксу; Филиал-рудник Бестобе; Филиал-рудник Жолымбет" И Счет.Наименование Равно "Резерв по долгосрочным авансам выданным (2910)"</t>
  </si>
  <si>
    <t>Сальдо на начало</t>
  </si>
  <si>
    <t>01.02.2018</t>
  </si>
  <si>
    <t>Операция (бухгалтерский и налоговый учет) АА000000001 от 01.02.2018 21:00:22
Сторно начисленного резерва</t>
  </si>
  <si>
    <t>АО "ГМК Казахалтын" (офис)
Управление
Расходы по созданию резерва и списанию безнадёжных требований</t>
  </si>
  <si>
    <t>АО "ГМК Казахалтын" (офис)
Metso Minerals, Inc
КА 995-12 от 21.12.2012</t>
  </si>
  <si>
    <t>28.02.2018</t>
  </si>
  <si>
    <t>Бухгалтерская справка для НЗС, содержания оборудования и НЗП АА000000714 от 28.02.2018 23:59:59
Сторно начисленного резерва</t>
  </si>
  <si>
    <t>АО "ГМК Казахалтын" (офис)
Бизнес лаборатори  автоматик технолоджи АО
KA-17-354108 от 27.02.2017</t>
  </si>
  <si>
    <t>АО "ГМК Казахалтын" (офис)
Международный аэропорт Астана АО
КА 21-15 от 14.01.2015</t>
  </si>
  <si>
    <t>30.04.2018</t>
  </si>
  <si>
    <t>Бухгалтерская справка для НЗС, содержания оборудования и НЗП АА00000914 от 30.04.2018 23:59:59
Сторно начисленного резерва</t>
  </si>
  <si>
    <t>АО "ГМК Казахалтын" (офис)
Управление
Расходы от обесценения дебиторской задолженности</t>
  </si>
  <si>
    <t>АО "ГМК Казахалтын" (офис)
Cals Computers ТОО
Без договора</t>
  </si>
  <si>
    <t>АО "ГМК Казахалтын" (офис)
КОМПЬЮТЕРЫ ЗДЕСЬ ТОО
Без договора</t>
  </si>
  <si>
    <t>АО "ГМК Казахалтын" (офис)
СГХК ТОО
KA 226-17 от 10.07.2017</t>
  </si>
  <si>
    <t>АО "ГМК Казахалтын" (офис)
Эльдорадо-2002 ТОО
KA-385-16 от 13.07.2016</t>
  </si>
  <si>
    <t>АО "ГМК Казахалтын" (офис)
Turkuaz Machinery ТОО
Без договора</t>
  </si>
  <si>
    <t>АО "ГМК Казахалтын" (офис)
ИРГИРЕДМЕТ АО
KA-131-17 от 03.05.2017</t>
  </si>
  <si>
    <t>31.05.2018</t>
  </si>
  <si>
    <t>Бухгалтерская справка для НЗС, содержания оборудования и НЗП АА00000987 от 31.05.2018 23:59:59
Сторно начисленного резерва</t>
  </si>
  <si>
    <t>АО "ГМК Казахалтын" (офис)
Proserve (Mauritius) Ltd
KA-309-17 от 15.09.2017</t>
  </si>
  <si>
    <t>АО "ГМК Казахалтын" (офис)
TALAS GOLD MINING COMPANY
КА 921-15 от 10.12.2015</t>
  </si>
  <si>
    <t>АО "ГМК Казахалтын" (офис)
Пром строй СТ ТОО
КА 503-13 от 12.07.2013</t>
  </si>
  <si>
    <t>30.06.2018</t>
  </si>
  <si>
    <t>Бухгалтерская справка для НЗС, содержания оборудования и НЗП АА00001067 от 30.06.2018 23:59:59
Сторно начисленного резерва</t>
  </si>
  <si>
    <t>АО "ГМК Казахалтын" (офис)
Келет АО
Без договора</t>
  </si>
  <si>
    <t>31.07.2018</t>
  </si>
  <si>
    <t>Бухгалтерская справка для НЗС, содержания оборудования и НЗП АА00001115 от 31.07.2018 23:59:59
Сторно начисленного резерва (корректировка)</t>
  </si>
  <si>
    <t>АО "ГМК Казахалтын" (офис)
MCES KZ (МКИС КЗ) ТОО
Без договора</t>
  </si>
  <si>
    <t>Бухгалтерская справка для НЗС, содержания оборудования и НЗП АА00001115 от 31.07.2018 23:59:59
Сторно начисленного резерва</t>
  </si>
  <si>
    <t>АО "ГМК Казахалтын" (офис)
Компрессорные технологии ООО
KA-142-17 от 15.05.2017</t>
  </si>
  <si>
    <t>АО "ГМК Казахалтын" (офис)
ХОЛОДОВ С.А. ИП
Без договора</t>
  </si>
  <si>
    <t>31.08.2018</t>
  </si>
  <si>
    <t>Бухгалтерская справка для НЗС, содержания оборудования и НЗП АА00001322 от 31.08.2018 23:59:59
Сторно начисленного резерва</t>
  </si>
  <si>
    <t>АО "ГМК Казахалтын" (офис)
ИВС СП ЗАО
KA-528-16 от 18.10.2016</t>
  </si>
  <si>
    <t>АО "ГМК Казахалтын" (офис)
ИВС СП ЗАО
KA-529-16 от 18.10.2016</t>
  </si>
  <si>
    <t>АО "ГМК Казахалтын" (офис)
ТОО КазЦентрЭкспертиза
КА 687-14 от 16.10.2014</t>
  </si>
  <si>
    <t>АО "ГМК Казахалтын" (офис)
Шахтостроитель ТОО
KA-171-17 от 25.05.2017</t>
  </si>
  <si>
    <t>АО "ГМК Казахалтын" (офис)
ЭнергоСтройсервис СТ ТОО
KA-404-16 от 22.07.2016</t>
  </si>
  <si>
    <t>30.09.2018</t>
  </si>
  <si>
    <t>Бухгалтерская справка для НЗС, содержания оборудования и НЗП АА00001462 от 30.09.2018 23:59:59
Сторно начисленного резерва</t>
  </si>
  <si>
    <t>АО "ГМК Казахалтын" (офис)
ИВС СП ЗАО
KA 639-16 от 30.12.2016</t>
  </si>
  <si>
    <t>АО "ГМК Казахалтын" (офис)
Рудэлектромаш ООО
КА-153-16 от 29.02.2016</t>
  </si>
  <si>
    <t>АО "ГМК Казахалтын" (офис)
Энергомашсервис ООО
Без договора</t>
  </si>
  <si>
    <t>АО "ГМК Казахалтын" (офис)
Apple Tech ТОО
Без договора</t>
  </si>
  <si>
    <t>31.10.2018</t>
  </si>
  <si>
    <t>Бухгалтерская справка для НЗС, содержания оборудования и НЗП АА00001587 от 31.10.2018 0:00:00
Сторно начисленного резерва</t>
  </si>
  <si>
    <t>АО "ГМК Казахалтын" (офис)
Бизнес лаборатори  автоматик технолоджи АО
без договора</t>
  </si>
  <si>
    <t>АО "ГМК Казахалтын" (офис)
UNIVERSAL LOGISTICS  (УНИВЕРСАЛ ЛОГИСТИКС) ТОО                                                      
Без договора</t>
  </si>
  <si>
    <t>31.12.2018</t>
  </si>
  <si>
    <t>Бухгалтерская справка для НЗС, содержания оборудования и НЗП АА00002149 от 31.12.2018 23:59:59
Сторно начисленного резерва</t>
  </si>
  <si>
    <t>АО "ГМК Казахалтын" (офис)
Азия Пром Комплект ТОО Филиал в г.Астане
Без договора</t>
  </si>
  <si>
    <t>АО "ГМК Казахалтын" (офис)
Алпроф-электро ТОО
Без договора</t>
  </si>
  <si>
    <t>АО "ГМК Казахалтын" (офис)
Синхрон ТОО
Без договора</t>
  </si>
  <si>
    <t>АО "ГМК Казахалтын" (офис)
Sandvik Mining and Construction Kazakhstan Ltd                                                      
КА 360-15 от 20.05.2015</t>
  </si>
  <si>
    <t>АО "ГМК Казахалтын" (офис)
Sandvik Mining and Construction Kazakhstan Ltd                                                      
КА 745-14 от 13.10.2014</t>
  </si>
  <si>
    <t>АО "ГМК Казахалтын" (офис)
Управляющая компания Проммаштехнология ООО
КА-830-15 от 16.11.2015</t>
  </si>
  <si>
    <t>АО "ГМК Казахалтын" (офис)
Пинчук В.В. ИП
Без договора</t>
  </si>
  <si>
    <t>АО "ГМК Казахалтын" (офис)
Шахтостроитель ТОО
Без договора</t>
  </si>
  <si>
    <t>АО "ГМК Казахалтын" (офис)
ITP Solutions ТОО                                                                                   
KA-59-17 от 23.02.2017</t>
  </si>
  <si>
    <t>АО "ГМК Казахалтын" (офис)
Техноэталон-1 ТОО
КА 199-13 от 14.04.2013</t>
  </si>
  <si>
    <t>Бухгалтерская справка для НЗС, содержания оборудования и НЗП АА00002216 от 31.12.2018 23:59:59
Начисление резерва 50%</t>
  </si>
  <si>
    <t>АО "ГМК Казахалтын" (офис)
ADM TYRES ТОО
Без договора</t>
  </si>
  <si>
    <t>АО "ГМК Казахалтын" (офис)
Astana building company 2050 ТОО
Без договора</t>
  </si>
  <si>
    <t>АО "ГМК Казахалтын" (офис)
Astana building company 2050 ТОО
KA-356-18 от 26.10.2018</t>
  </si>
  <si>
    <t>Бухгалтерская справка для НЗС, содержания оборудования и НЗП АА00002216 от 31.12.2018 23:59:59
Начисление резерва 100%</t>
  </si>
  <si>
    <t>АО "ГМК Казахалтын" (офис)
Astana Motors Premium ТОО
KA-375-17 от 14.11.2017</t>
  </si>
  <si>
    <t>АО "ГМК Казахалтын" (офис)
Bohnenkamp ТОО
Без договора</t>
  </si>
  <si>
    <t>АО "ГМК Казахалтын" (офис)
BuildProject NS ТОО
Без договора</t>
  </si>
  <si>
    <t>АО "ГМК Казахалтын" (офис)
CanRos Trade KZ ТОО
KA-17-364664 от 31.08.2017</t>
  </si>
  <si>
    <t>Бухгалтерская справка для НЗС, содержания оборудования и НЗП АА00002216 от 31.12.2018 23:59:59
Начисление резерва 25%</t>
  </si>
  <si>
    <t>АО "ГМК Казахалтын" (офис)
Database Systems ТОО
KA-295-18 от 04.09.2018</t>
  </si>
  <si>
    <t>АО "ГМК Казахалтын" (офис)
Garant Group ТОО
Без договора</t>
  </si>
  <si>
    <t>АО "ГМК Казахалтын" (офис)
M&amp;A solutions ТОО
KA 223-17 от 05.07.2017</t>
  </si>
  <si>
    <t>АО "ГМК Казахалтын" (офис)
M&amp;A solutions ТОО
KA-17-367684 от 24.10.2017</t>
  </si>
  <si>
    <t>АО "ГМК Казахалтын" (офис)
M&amp;A solutions ТОО
KA 195-17 от 09.06.2017</t>
  </si>
  <si>
    <t>АО "ГМК Казахалтын" (офис)
TOR-UNION ТОО
Без договора</t>
  </si>
  <si>
    <t>АО "ГМК Казахалтын" (офис)
Группа РВК ООО
KA-17-369216 от 20.11.2017</t>
  </si>
  <si>
    <t>АО "ГМК Казахалтын" (офис)
Екибастуз-2007 ТОО
Без договора</t>
  </si>
  <si>
    <t>АО "ГМК Казахалтын" (офис)
ИнфраРесурс ТОО
Без договора</t>
  </si>
  <si>
    <t>АО "ГМК Казахалтын" (офис)
КаzХолдинг производственная компания ТОО
без договора от 07.04.2017</t>
  </si>
  <si>
    <t>АО "ГМК Казахалтын" (офис)
КОПИТЕК ТОО
Без договора</t>
  </si>
  <si>
    <t>АО "ГМК Казахалтын" (офис)
СВС-МОДУЛЬ ТОО
KA-17-370553 от 14.12.2017</t>
  </si>
  <si>
    <t>АО "ГМК Казахалтын" (офис)
Сирпиго ТОО
KA-368-16 от 04.07.2016</t>
  </si>
  <si>
    <t>АО "ГМК Казахалтын" (офис)
Сити-Система ТОО
Без договора</t>
  </si>
  <si>
    <t>АО "ГМК Казахалтын" (офис)
Спецпусконаладка КТ
Без договора</t>
  </si>
  <si>
    <t>АО "ГМК Казахалтын" (офис)
Строительно-монтажная компания Арыстан ТОО
Без договора</t>
  </si>
  <si>
    <t>АО "ГМК Казахалтын" (офис)
Теренколь - Строй ТОО
KA 223-17 от 05.07.2017</t>
  </si>
  <si>
    <t>АО "ГМК Казахалтын" (офис)
Тех.эксперт ТОО
Без договора</t>
  </si>
  <si>
    <t>АО "ГМК Казахалтын" (офис)
Энерджи плюс-НС ТОО
KA-16-334767 от 11.04.2016</t>
  </si>
  <si>
    <t>АО "ГМК Казахалтын" (офис)
Энерджи плюс-НС ТОО
KA-16-345895 от 19.10.2016</t>
  </si>
  <si>
    <t>Бухгалтерская справка для НЗС, содержания оборудования и НЗП АА00002241 от 31.12.2018 23:59:59
Сторно начисленного резерва за 2018 год</t>
  </si>
  <si>
    <t>Обороты за период и сальдо на конец</t>
  </si>
  <si>
    <t>Total</t>
  </si>
  <si>
    <t>Gain</t>
  </si>
  <si>
    <t>Loss</t>
  </si>
  <si>
    <t>Net</t>
  </si>
  <si>
    <t>Total forex</t>
  </si>
  <si>
    <t>СВЯЗАННЫЕ СТОРОНЫ</t>
  </si>
  <si>
    <t>Торговая и прочая дебиторская задолженность за минусом резерва по сомнительным долгам в сумме 231,395 тыс. тенге</t>
  </si>
  <si>
    <t xml:space="preserve">Займы </t>
  </si>
  <si>
    <t>Материнская Группа</t>
  </si>
  <si>
    <t>Организации под общим контролем конечной контролирующей стороны</t>
  </si>
  <si>
    <t>Прочие связанные стороны</t>
  </si>
  <si>
    <t>На 31 декабря 2018 года</t>
  </si>
  <si>
    <t>оборудование</t>
  </si>
  <si>
    <t>Строительно-монтажные работы</t>
  </si>
  <si>
    <t>Приобретение оборудования (ПДСУ для БОФ)</t>
  </si>
  <si>
    <t>Изготовление и установка металлопластиковых окон и перегородки</t>
  </si>
  <si>
    <t>Оборудование</t>
  </si>
  <si>
    <t>тмц</t>
  </si>
  <si>
    <t>строительные</t>
  </si>
  <si>
    <t>транспортные услуги</t>
  </si>
  <si>
    <t>ремонт автотранспорта</t>
  </si>
  <si>
    <t>Единая комплексная услуга по СО</t>
  </si>
  <si>
    <t>шины</t>
  </si>
  <si>
    <t xml:space="preserve">тмц </t>
  </si>
  <si>
    <t>Авиабилеты</t>
  </si>
  <si>
    <t>Услуги железной дороги</t>
  </si>
  <si>
    <t>цемент</t>
  </si>
  <si>
    <t>подписка на журнал</t>
  </si>
  <si>
    <t>(интерактивный дисплей Samsung FLIP)</t>
  </si>
  <si>
    <t>Почтовые услуги</t>
  </si>
  <si>
    <t>обследование границ земель.участков</t>
  </si>
  <si>
    <t>дрступ к сайту</t>
  </si>
  <si>
    <t xml:space="preserve"> оператора (ж/д услуги)</t>
  </si>
  <si>
    <t>Юридические услуги</t>
  </si>
  <si>
    <t>Противопожарное обслуживание</t>
  </si>
  <si>
    <t>селитра</t>
  </si>
  <si>
    <t>канаты стальные</t>
  </si>
  <si>
    <t>весы крановые</t>
  </si>
  <si>
    <t>буровой инструмент</t>
  </si>
  <si>
    <t>ролик конвеерный</t>
  </si>
  <si>
    <t>изготовление баннера</t>
  </si>
  <si>
    <t>уголь</t>
  </si>
  <si>
    <t>цианид натрия</t>
  </si>
  <si>
    <t>трубку высокого давления</t>
  </si>
  <si>
    <t>запчасти к автотехнике</t>
  </si>
  <si>
    <t>диагностика ДВС</t>
  </si>
  <si>
    <t>рассада</t>
  </si>
  <si>
    <t xml:space="preserve"> металлоконструкций для операции</t>
  </si>
  <si>
    <t>канцеляр.товары</t>
  </si>
  <si>
    <t>ремонт кондиционеров</t>
  </si>
  <si>
    <t>стройматериалы</t>
  </si>
  <si>
    <t>насос</t>
  </si>
  <si>
    <t>ремонт ограждения</t>
  </si>
  <si>
    <t>автозапчасти</t>
  </si>
  <si>
    <t>лес</t>
  </si>
  <si>
    <t>(коробка передач для бульдозера)</t>
  </si>
  <si>
    <t>вывоз ТБО</t>
  </si>
  <si>
    <t>фонарь шахтерский</t>
  </si>
  <si>
    <t>бытовая техгика и мебель</t>
  </si>
  <si>
    <t>перемещение,экскавацию и перевозку горной массы</t>
  </si>
  <si>
    <t>обучение</t>
  </si>
  <si>
    <t>партийные взносы</t>
  </si>
  <si>
    <t>СИЗ</t>
  </si>
  <si>
    <t>аккумуляторы</t>
  </si>
  <si>
    <t xml:space="preserve">абонентская плата кабельного телевидения </t>
  </si>
  <si>
    <t>электротехнические материалы</t>
  </si>
  <si>
    <t xml:space="preserve">услуги </t>
  </si>
  <si>
    <t>ремонт орг.техники</t>
  </si>
  <si>
    <t>кабельно-проводниковая продукция</t>
  </si>
  <si>
    <t xml:space="preserve"> (авторский надзор и пусконаладочные работы по АВМ 24 шх. "Вентиляционная" Рудник Жолымбет)</t>
  </si>
  <si>
    <t>доставка товара</t>
  </si>
  <si>
    <t>дизельное топливо</t>
  </si>
  <si>
    <t>транспортные</t>
  </si>
  <si>
    <t>оценке объекта недвижимости и транспортные расходы</t>
  </si>
  <si>
    <t>диктофон цифровой</t>
  </si>
  <si>
    <t>двигатель</t>
  </si>
  <si>
    <t xml:space="preserve">Услуги </t>
  </si>
  <si>
    <t xml:space="preserve"> (оперирование вагонами)</t>
  </si>
  <si>
    <t>хоз.товары</t>
  </si>
  <si>
    <t>технологические материалы на горные работы</t>
  </si>
  <si>
    <t>типограф.продукция</t>
  </si>
  <si>
    <t>секционные промышленные ворота</t>
  </si>
  <si>
    <t>бензин</t>
  </si>
  <si>
    <t>молотки геологические</t>
  </si>
  <si>
    <t>запасный части к оборудованию редуктор</t>
  </si>
  <si>
    <t>запасные части к оборудованию перфораты</t>
  </si>
  <si>
    <t>проведения мероприятия</t>
  </si>
  <si>
    <t>(санаторно-курортное лечение)</t>
  </si>
  <si>
    <t>оценка земли</t>
  </si>
  <si>
    <t>связь</t>
  </si>
  <si>
    <t>почтовые</t>
  </si>
  <si>
    <t>проведение спортивных мерроприятий</t>
  </si>
  <si>
    <t>Услуги, ТМЦ (аренда бульдозера. Фронтального погрузчика, сухая смесь)</t>
  </si>
  <si>
    <t>перевод документов</t>
  </si>
  <si>
    <t>ТМЦ</t>
  </si>
  <si>
    <t>проживание в гостинице</t>
  </si>
  <si>
    <t>электроизоляционные материалы</t>
  </si>
  <si>
    <t>технологические материалы для фабрик  ксантогенат калия бутиловый сыпучий</t>
  </si>
  <si>
    <t>доступ к программе Спарку</t>
  </si>
  <si>
    <t xml:space="preserve">сальник-вертлюг </t>
  </si>
  <si>
    <t>платной дороги</t>
  </si>
  <si>
    <t>Сервисное обслуживание горношахтного обор-ия</t>
  </si>
  <si>
    <t>ежегодный листинговый сбор</t>
  </si>
  <si>
    <t>трубы</t>
  </si>
  <si>
    <t>щебень, трубы</t>
  </si>
  <si>
    <t>светильники</t>
  </si>
  <si>
    <t>запасные части к автотехнике</t>
  </si>
  <si>
    <t>автошины</t>
  </si>
  <si>
    <t>изготовление коллективных договоров</t>
  </si>
  <si>
    <t>подшипники</t>
  </si>
  <si>
    <t>мешки</t>
  </si>
  <si>
    <t>двухстропный мягкий контейнер</t>
  </si>
  <si>
    <t>связи</t>
  </si>
  <si>
    <t>железной дороги</t>
  </si>
  <si>
    <t>краска</t>
  </si>
  <si>
    <t>трубу дюралюминиевую</t>
  </si>
  <si>
    <t>мешки пробные</t>
  </si>
  <si>
    <t>Консультационные услуги</t>
  </si>
  <si>
    <t>Материальная помощь для проведения ремонтных работ</t>
  </si>
  <si>
    <t>инспекционная проверка</t>
  </si>
  <si>
    <t>обогреватели</t>
  </si>
  <si>
    <t>прочие РТИ</t>
  </si>
  <si>
    <t>за награды Енбек и Кеншi данкы</t>
  </si>
  <si>
    <t>член.взносы</t>
  </si>
  <si>
    <t>электронагреватели</t>
  </si>
  <si>
    <t>за организацию и проведение PR-акции на тему повышения престижа рабочих профессий в горно-металургической отрасли</t>
  </si>
  <si>
    <t>продукция типографии</t>
  </si>
  <si>
    <t>обслуживание орг.техники</t>
  </si>
  <si>
    <t xml:space="preserve"> ремонт и установку счетчиков в служебной квартире</t>
  </si>
  <si>
    <t>диски алмазные</t>
  </si>
  <si>
    <t>коронки</t>
  </si>
  <si>
    <t>рельсы</t>
  </si>
  <si>
    <t>пошлина</t>
  </si>
  <si>
    <t>щебень</t>
  </si>
  <si>
    <t>запчасти к электровозам</t>
  </si>
  <si>
    <t>Услуги (санаторно-курортное лечение)</t>
  </si>
  <si>
    <t>материал углеродный нетканный Карбопон В-10М А ,</t>
  </si>
  <si>
    <t>тмц,услуги</t>
  </si>
  <si>
    <t>15 000 услуги по размещению шахтной воды, 3 789 хим.реагенты</t>
  </si>
  <si>
    <t>ХПВ, водоотведение</t>
  </si>
  <si>
    <t>Приобретение ТМЦ (зап.части тормозной панели ШПМ)</t>
  </si>
  <si>
    <t>инстументы</t>
  </si>
  <si>
    <t>Приобретение ТМЦ (трубы, песок строительный)</t>
  </si>
  <si>
    <t>прожектор и лампочки</t>
  </si>
  <si>
    <t>за ревизию, наладку и проведение контрольных испытаний</t>
  </si>
  <si>
    <t>ХПВ, очистка и отвод стоков</t>
  </si>
  <si>
    <t>известь</t>
  </si>
  <si>
    <t>Услуги по предоставлению питания</t>
  </si>
  <si>
    <t>Приобретение ТМЦ (спецодежда)</t>
  </si>
  <si>
    <t>ремонт и обслуживание оборудования</t>
  </si>
  <si>
    <t xml:space="preserve">размщение в переодическом печатном издании журнала "Resource KZ" </t>
  </si>
  <si>
    <t>Услуги (транспортно-экспедиторское обслуживание)</t>
  </si>
  <si>
    <t>тэны</t>
  </si>
  <si>
    <t>за трубу буровую</t>
  </si>
  <si>
    <t>преобразователи</t>
  </si>
  <si>
    <t>вагонетки</t>
  </si>
  <si>
    <t>штампы</t>
  </si>
  <si>
    <t>инкассация, хранение</t>
  </si>
  <si>
    <t>ремонт авто</t>
  </si>
  <si>
    <t>за регулировку, диагностику и установку форсунок на бульдозер</t>
  </si>
  <si>
    <t>техосмотр</t>
  </si>
  <si>
    <t>ремонт оборудования</t>
  </si>
  <si>
    <t>за бур.инструменты</t>
  </si>
  <si>
    <t>Аудиторские услуги</t>
  </si>
  <si>
    <t>Услуги по отысканию места повреждения кабеля</t>
  </si>
  <si>
    <t>ТМЦ, оборудование</t>
  </si>
  <si>
    <t>Ремонт элекрообрудования</t>
  </si>
  <si>
    <t>Агентство РиШ ТОО</t>
  </si>
  <si>
    <t>Дорохова Ирина Владимировна</t>
  </si>
  <si>
    <t>Кокшетауский университет им.Абая Мырзахметова учреждение</t>
  </si>
  <si>
    <t>ПРО Евразия КЗ ТОО</t>
  </si>
  <si>
    <t>Forex gain</t>
  </si>
  <si>
    <t>Forex loss</t>
  </si>
  <si>
    <t>РАСХОДЫ ПО РЕАЛИЗАЦИИ</t>
  </si>
  <si>
    <t>Транспортные услуги</t>
  </si>
  <si>
    <t>Расходы по экспертизе</t>
  </si>
  <si>
    <t xml:space="preserve">Материалы </t>
  </si>
  <si>
    <t>Ставка дисконтирования</t>
  </si>
  <si>
    <t>Будущее увеличение заработной платы</t>
  </si>
  <si>
    <t>Обязательства по вознаграждению работникам</t>
  </si>
  <si>
    <t>Доходы по начисленным процентам</t>
  </si>
  <si>
    <t>Командировочные расходы</t>
  </si>
  <si>
    <t>Страхование</t>
  </si>
  <si>
    <t>Reclass</t>
  </si>
  <si>
    <t>OB</t>
  </si>
  <si>
    <t>Отчет по проводкам за 2018 year</t>
  </si>
  <si>
    <t>Счет Дт В группе "2410" И Счет Кт В группе "4240"</t>
  </si>
  <si>
    <t>01.04.2018</t>
  </si>
  <si>
    <t>Операция (бухгалтерский и налоговый учет) 0000001636 от 4/1/2018 10:23:55 PM</t>
  </si>
  <si>
    <t>Аксу ликвид фонд
Аксу
Дигарбаева Алмаш Даркембаевна</t>
  </si>
  <si>
    <t>4240</t>
  </si>
  <si>
    <t>Бестобе ликвид фонд
Бестобе
Дигарбаева Алмаш Даркембаевна</t>
  </si>
  <si>
    <t>Жолымбет ликвид фонд
Жолымбет
Дигарбаева Алмаш Даркембаевна</t>
  </si>
  <si>
    <t>Рыночный риск</t>
  </si>
  <si>
    <t>Риск ликвидности</t>
  </si>
  <si>
    <t>От 3 месяцев до 12 месяцев</t>
  </si>
  <si>
    <t>От 1 года до 5 лет</t>
  </si>
  <si>
    <t>Свыше 5 лет</t>
  </si>
  <si>
    <t>Займы</t>
  </si>
  <si>
    <t>Торговая и прочая кредиторскя задолженность</t>
  </si>
  <si>
    <t>Денежные потоки от операционной деятельности</t>
  </si>
  <si>
    <t>Корректировки на:</t>
  </si>
  <si>
    <t>Износ и амортизацию</t>
  </si>
  <si>
    <t>Расходы по обесценению основных средств</t>
  </si>
  <si>
    <t>Расходы по созданию резерва по сомнительным долгам и обесценению предоплат</t>
  </si>
  <si>
    <t>Изменения в обротном капитале:</t>
  </si>
  <si>
    <t>Изменения в товарно-материальных запасах</t>
  </si>
  <si>
    <t>Изменения в НДС и прочих налогах</t>
  </si>
  <si>
    <t>Изменения в торговой и прочей дебиторской задолженности</t>
  </si>
  <si>
    <t>Изменения в прочих нефинансовых активах</t>
  </si>
  <si>
    <t>Изменения в торговой и прочей кредиторской задолженности</t>
  </si>
  <si>
    <t>Изменения в прочих нефинансовых обязательствах</t>
  </si>
  <si>
    <t>Подоходный налог уплаченный</t>
  </si>
  <si>
    <t>Проценты уплаченные</t>
  </si>
  <si>
    <t>Проценты полученные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</si>
  <si>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</si>
  <si>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</si>
  <si>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</si>
  <si>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Реализация основных средств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</si>
  <si>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</si>
  <si>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</si>
  <si>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Поступления от займов</t>
  </si>
  <si>
    <t>Выплата займов</t>
  </si>
  <si>
    <t>Погашение прочих финансовых обязательств</t>
  </si>
  <si>
    <t>Чистые денежные потоки от финансовой деятельности</t>
  </si>
  <si>
    <t>Чистое изменение денежных средств и их эквивалентов</t>
  </si>
  <si>
    <t>Чистая курсовая разница</t>
  </si>
  <si>
    <t>Денежные средства и их эквиваленты на 1 января</t>
  </si>
  <si>
    <t>НДС к возмещению краткосрочный</t>
  </si>
  <si>
    <t>НДС к возмещению долгосрочный</t>
  </si>
  <si>
    <t>Приобретение товаров и услуги</t>
  </si>
  <si>
    <t>Доходы от списания задолженности</t>
  </si>
  <si>
    <t>Анализ счета 1300 за 2018 г.</t>
  </si>
  <si>
    <t>Анализ счета 1410 за 2018 г.</t>
  </si>
  <si>
    <t>Счет.Наименование Равно "Незавершенное строительство"</t>
  </si>
  <si>
    <t>Financial services B.V. (i)</t>
  </si>
  <si>
    <t>ДБ АО Сбербанк</t>
  </si>
  <si>
    <t>АО Народный Банк Казахстана</t>
  </si>
  <si>
    <t>Financial services B.V. (ii)</t>
  </si>
  <si>
    <t>Gouden Reserves B.V. (i)</t>
  </si>
  <si>
    <t>5.5%-7.75%</t>
  </si>
  <si>
    <t>Амортизация дисконта по займам от сторонних организаций</t>
  </si>
  <si>
    <t>Текущая часть</t>
  </si>
  <si>
    <t>Актуарное обязательство на 1 января</t>
  </si>
  <si>
    <t>Изменение в предоплате за товары и услуги</t>
  </si>
  <si>
    <t>Погашение выданного займа</t>
  </si>
  <si>
    <t>Отрицательную/(положительную) курсовую разницу</t>
  </si>
  <si>
    <t>Амортизация дисконта по резерву на восстановление земельного участка</t>
  </si>
  <si>
    <t>Эффекивная процентная ставка</t>
  </si>
  <si>
    <t>В тысячах тенге</t>
  </si>
  <si>
    <t>Реализация золота и серебра</t>
  </si>
  <si>
    <t>Аренда офисного помещения</t>
  </si>
  <si>
    <t>Гостиничный бизнес</t>
  </si>
  <si>
    <t>Итого по сегментам</t>
  </si>
  <si>
    <t xml:space="preserve">2017 год </t>
  </si>
  <si>
    <t>Выручка</t>
  </si>
  <si>
    <t>Продажи внешним покупателям</t>
  </si>
  <si>
    <t>Межсегментные продажи</t>
  </si>
  <si>
    <t>Итого выручка</t>
  </si>
  <si>
    <t>Финансовые результаты</t>
  </si>
  <si>
    <t>Прибыль и убыток сегментов до налогообложения</t>
  </si>
  <si>
    <t xml:space="preserve">2018 год </t>
  </si>
  <si>
    <t>Торговая дебиторская задолженность</t>
  </si>
  <si>
    <t>Кредиты и займы</t>
  </si>
  <si>
    <t>Нетто-величина риска по состоянию на 31 декабря 2015 г.</t>
  </si>
  <si>
    <t>Выражены в долларах США</t>
  </si>
  <si>
    <t>Выражены в евро</t>
  </si>
  <si>
    <t>Выражены в российских рублях</t>
  </si>
  <si>
    <t>Повышение</t>
  </si>
  <si>
    <t>Понижение</t>
  </si>
  <si>
    <t>%</t>
  </si>
  <si>
    <t>Влияние</t>
  </si>
  <si>
    <t>Уровень 1</t>
  </si>
  <si>
    <t>Уровень 2</t>
  </si>
  <si>
    <t>Уровень 3</t>
  </si>
  <si>
    <t>Финансовые активы</t>
  </si>
  <si>
    <t>Финансовые обязательства</t>
  </si>
  <si>
    <t xml:space="preserve">Займы полученные </t>
  </si>
  <si>
    <t>Справедливая стоимость</t>
  </si>
  <si>
    <t>Обязательства по договорам с покупателями</t>
  </si>
  <si>
    <t>Авансы, полученные по договорам с покупателями</t>
  </si>
  <si>
    <t>Доход от продажи сплава Доре</t>
  </si>
  <si>
    <t>Активы</t>
  </si>
  <si>
    <t>Обязательства</t>
  </si>
  <si>
    <t>Текущие активы</t>
  </si>
  <si>
    <t>Собственный капитал</t>
  </si>
  <si>
    <t>Нераспределенная прибыль</t>
  </si>
  <si>
    <t>Exposure amount</t>
  </si>
  <si>
    <t>Outstanding loan</t>
  </si>
  <si>
    <t>Interest expense</t>
  </si>
  <si>
    <t>Effective interest rate</t>
  </si>
  <si>
    <t>Interest expense (projection)</t>
  </si>
  <si>
    <t>ФИНАНСОВЫЕ ИНСТРУМЕНТЫ</t>
  </si>
  <si>
    <t>Date</t>
  </si>
  <si>
    <t>USD_quant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</si>
  <si>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</si>
  <si>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</si>
  <si>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</si>
  <si>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</si>
  <si>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</si>
  <si>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</si>
  <si>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</si>
  <si>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</si>
  <si>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</si>
  <si>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</si>
  <si>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</si>
  <si>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</si>
  <si>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</si>
  <si>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</si>
  <si>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</si>
  <si>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</si>
  <si>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</si>
  <si>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</si>
  <si>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</si>
  <si>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</si>
  <si>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</si>
  <si>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</si>
  <si>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</si>
  <si>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</si>
  <si>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</si>
  <si>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</si>
  <si>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</si>
  <si>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</si>
  <si>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2018-01-29</t>
  </si>
  <si>
    <t>2018-01-30</t>
  </si>
  <si>
    <t>2018-01-31</t>
  </si>
  <si>
    <t>2018-02-01</t>
  </si>
  <si>
    <t>2018-02-02</t>
  </si>
  <si>
    <t>2018-02-03</t>
  </si>
  <si>
    <t>2018-02-04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</si>
  <si>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</si>
  <si>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</si>
  <si>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</si>
  <si>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</si>
  <si>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</si>
  <si>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</si>
  <si>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</si>
  <si>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</si>
  <si>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</si>
  <si>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</si>
  <si>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</si>
  <si>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</si>
  <si>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</si>
  <si>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</si>
  <si>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</si>
  <si>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</si>
  <si>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</si>
  <si>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</si>
  <si>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</si>
  <si>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</si>
  <si>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</si>
  <si>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2018-02-26</t>
  </si>
  <si>
    <t>2018-02-27</t>
  </si>
  <si>
    <t>2018-02-28</t>
  </si>
  <si>
    <t>2018-03-01</t>
  </si>
  <si>
    <t>2018-03-02</t>
  </si>
  <si>
    <t>2018-03-03</t>
  </si>
  <si>
    <t>2018-03-04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</si>
  <si>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</si>
  <si>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</si>
  <si>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</si>
  <si>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</si>
  <si>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</si>
  <si>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</si>
  <si>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</si>
  <si>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</si>
  <si>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</si>
  <si>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</si>
  <si>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</si>
  <si>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</si>
  <si>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</si>
  <si>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</si>
  <si>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</si>
  <si>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</si>
  <si>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</si>
  <si>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</si>
  <si>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</si>
  <si>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</si>
  <si>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</si>
  <si>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2018-03-26</t>
  </si>
  <si>
    <t>2018-03-27</t>
  </si>
  <si>
    <t>2018-03-28</t>
  </si>
  <si>
    <t>2018-03-29</t>
  </si>
  <si>
    <t>2018-03-30</t>
  </si>
  <si>
    <t>2018-03-31</t>
  </si>
  <si>
    <t>2018-04-01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</si>
  <si>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</si>
  <si>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</si>
  <si>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</si>
  <si>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</si>
  <si>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</si>
  <si>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</si>
  <si>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</si>
  <si>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</si>
  <si>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</si>
  <si>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</si>
  <si>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</si>
  <si>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</si>
  <si>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</si>
  <si>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</si>
  <si>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</si>
  <si>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</si>
  <si>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</si>
  <si>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</si>
  <si>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</si>
  <si>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</si>
  <si>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</si>
  <si>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</si>
  <si>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</si>
  <si>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</si>
  <si>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</si>
  <si>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</si>
  <si>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</si>
  <si>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</si>
  <si>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2018-04-30</t>
  </si>
  <si>
    <t>2018-05-01</t>
  </si>
  <si>
    <t>2018-05-02</t>
  </si>
  <si>
    <t>2018-05-03</t>
  </si>
  <si>
    <t>2018-05-04</t>
  </si>
  <si>
    <t>2018-05-05</t>
  </si>
  <si>
    <t>2018-05-06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</si>
  <si>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</si>
  <si>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</si>
  <si>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</si>
  <si>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</si>
  <si>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</si>
  <si>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</si>
  <si>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</si>
  <si>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</si>
  <si>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</si>
  <si>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</si>
  <si>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</si>
  <si>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</si>
  <si>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</si>
  <si>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</si>
  <si>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</si>
  <si>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</si>
  <si>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</si>
  <si>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</si>
  <si>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</si>
  <si>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</si>
  <si>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</si>
  <si>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2018-05-28</t>
  </si>
  <si>
    <t>2018-05-29</t>
  </si>
  <si>
    <t>2018-05-30</t>
  </si>
  <si>
    <t>2018-05-31</t>
  </si>
  <si>
    <t>2018-06-01</t>
  </si>
  <si>
    <t>2018-06-02</t>
  </si>
  <si>
    <t>2018-06-03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</si>
  <si>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</si>
  <si>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</si>
  <si>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</si>
  <si>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</si>
  <si>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</si>
  <si>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</si>
  <si>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</si>
  <si>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</si>
  <si>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</si>
  <si>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</si>
  <si>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</si>
  <si>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</si>
  <si>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</si>
  <si>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</si>
  <si>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</si>
  <si>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</si>
  <si>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</si>
  <si>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</si>
  <si>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</si>
  <si>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</si>
  <si>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</si>
  <si>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2018-06-25</t>
  </si>
  <si>
    <t>2018-06-26</t>
  </si>
  <si>
    <t>2018-06-27</t>
  </si>
  <si>
    <t>2018-06-28</t>
  </si>
  <si>
    <t>2018-06-29</t>
  </si>
  <si>
    <t>2018-06-30</t>
  </si>
  <si>
    <t>2018-07-01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</si>
  <si>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</si>
  <si>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</si>
  <si>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</si>
  <si>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</si>
  <si>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</si>
  <si>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</si>
  <si>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</si>
  <si>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</si>
  <si>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</si>
  <si>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</si>
  <si>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</si>
  <si>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</si>
  <si>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</si>
  <si>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</si>
  <si>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</si>
  <si>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</si>
  <si>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</si>
  <si>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</si>
  <si>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</si>
  <si>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</si>
  <si>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</si>
  <si>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</si>
  <si>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</si>
  <si>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</si>
  <si>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</si>
  <si>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</si>
  <si>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</si>
  <si>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</si>
  <si>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2018-07-30</t>
  </si>
  <si>
    <t>2018-07-31</t>
  </si>
  <si>
    <t>2018-08-01</t>
  </si>
  <si>
    <t>2018-08-02</t>
  </si>
  <si>
    <t>2018-08-03</t>
  </si>
  <si>
    <t>2018-08-04</t>
  </si>
  <si>
    <t>2018-08-05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</si>
  <si>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</si>
  <si>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</si>
  <si>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</si>
  <si>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</si>
  <si>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</si>
  <si>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</si>
  <si>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</si>
  <si>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</si>
  <si>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</si>
  <si>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</si>
  <si>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</si>
  <si>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</si>
  <si>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</si>
  <si>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</si>
  <si>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</si>
  <si>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</si>
  <si>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</si>
  <si>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</si>
  <si>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</si>
  <si>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</si>
  <si>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</si>
  <si>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2018-08-27</t>
  </si>
  <si>
    <t>2018-08-28</t>
  </si>
  <si>
    <t>2018-08-29</t>
  </si>
  <si>
    <t>2018-08-30</t>
  </si>
  <si>
    <t>2018-08-31</t>
  </si>
  <si>
    <t>2018-09-01</t>
  </si>
  <si>
    <t>2018-09-02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</si>
  <si>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</si>
  <si>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</si>
  <si>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</si>
  <si>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</si>
  <si>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</si>
  <si>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</si>
  <si>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</si>
  <si>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</si>
  <si>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</si>
  <si>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</si>
  <si>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</si>
  <si>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</si>
  <si>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</si>
  <si>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</si>
  <si>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</si>
  <si>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</si>
  <si>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</si>
  <si>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</si>
  <si>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</si>
  <si>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</si>
  <si>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</si>
  <si>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</si>
  <si>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</si>
  <si>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</si>
  <si>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</si>
  <si>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</si>
  <si>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</si>
  <si>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</si>
  <si>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</si>
  <si>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</si>
  <si>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</si>
  <si>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</si>
  <si>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</si>
  <si>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</si>
  <si>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</si>
  <si>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</si>
  <si>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</si>
  <si>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</si>
  <si>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</si>
  <si>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</si>
  <si>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</si>
  <si>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</si>
  <si>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</si>
  <si>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</si>
  <si>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</si>
  <si>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</si>
  <si>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</si>
  <si>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</si>
  <si>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</si>
  <si>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</si>
  <si>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</si>
  <si>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</si>
  <si>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</si>
  <si>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</si>
  <si>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</si>
  <si>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</si>
  <si>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2018-10-29</t>
  </si>
  <si>
    <t>2018-10-30</t>
  </si>
  <si>
    <t>2018-10-31</t>
  </si>
  <si>
    <t>2018-11-01</t>
  </si>
  <si>
    <t>2018-11-02</t>
  </si>
  <si>
    <t>2018-11-03</t>
  </si>
  <si>
    <t>2018-11-04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</si>
  <si>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</si>
  <si>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</si>
  <si>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</si>
  <si>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</si>
  <si>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</si>
  <si>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</si>
  <si>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</si>
  <si>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</si>
  <si>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</si>
  <si>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</si>
  <si>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</si>
  <si>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</si>
  <si>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</si>
  <si>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</si>
  <si>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</si>
  <si>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</si>
  <si>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</si>
  <si>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</si>
  <si>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</si>
  <si>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</si>
  <si>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</si>
  <si>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2018-11-26</t>
  </si>
  <si>
    <t>2018-11-27</t>
  </si>
  <si>
    <t>2018-11-28</t>
  </si>
  <si>
    <t>2018-11-29</t>
  </si>
  <si>
    <t>2018-11-30</t>
  </si>
  <si>
    <t>2018-12-01</t>
  </si>
  <si>
    <t>2018-12-02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</si>
  <si>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</si>
  <si>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</si>
  <si>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</si>
  <si>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</si>
  <si>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</si>
  <si>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</si>
  <si>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</si>
  <si>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</si>
  <si>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</si>
  <si>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</si>
  <si>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</si>
  <si>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</si>
  <si>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</si>
  <si>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</si>
  <si>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</si>
  <si>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</si>
  <si>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</si>
  <si>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</si>
  <si>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</si>
  <si>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</si>
  <si>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</si>
  <si>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</si>
  <si>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</si>
  <si>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</si>
  <si>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</si>
  <si>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</si>
  <si>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</si>
  <si>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</si>
  <si>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2018-12-31</t>
  </si>
  <si>
    <t>Кредитный риск</t>
  </si>
  <si>
    <t>Текущие счета</t>
  </si>
  <si>
    <t>На 31 декабря 2018 г</t>
  </si>
  <si>
    <t>На 31 декабря 2017 г</t>
  </si>
  <si>
    <t>АО «Народный Банк Казахстана»</t>
  </si>
  <si>
    <t xml:space="preserve">ДБ АО «Сбербанк России» </t>
  </si>
  <si>
    <t xml:space="preserve">АО «Банк ЦентрКредит» </t>
  </si>
  <si>
    <t>АО «АТФ Банк»</t>
  </si>
  <si>
    <t xml:space="preserve">АО «Казкоммерцбанк» </t>
  </si>
  <si>
    <t>Акционер</t>
  </si>
  <si>
    <t>Организации под общим контролем Акционера</t>
  </si>
  <si>
    <t>Акционеры</t>
  </si>
  <si>
    <t>Организации под общим контролем Акционеров</t>
  </si>
  <si>
    <t>Консолидировано</t>
  </si>
  <si>
    <t>Корректировки и исключения</t>
  </si>
  <si>
    <t>Размещение депозитов</t>
  </si>
  <si>
    <t>Рекласс</t>
  </si>
  <si>
    <t>0% займ</t>
  </si>
  <si>
    <t>Итого займ</t>
  </si>
  <si>
    <t>Итого займы</t>
  </si>
  <si>
    <t>Эффект от применения МСФО (IFRS) 9</t>
  </si>
  <si>
    <t>1 января 2018 года 
(пересчитано)</t>
  </si>
  <si>
    <t>На 1 января 2018 года (пересмотрено)</t>
  </si>
  <si>
    <t>ДОЛГОСРОЧНЫЕ ДЕПОЗИТЫ</t>
  </si>
  <si>
    <t>Долгосрочные депозиты, выраженные в тенге</t>
  </si>
  <si>
    <t>Минус: резерв под ожидаемые кредитные убытки</t>
  </si>
  <si>
    <t>Предоплата за минусом резерва по сомнительным долгам в сумме 100,000 тыс. тенге</t>
  </si>
  <si>
    <t>Готовая продукция (по наименьшей из себестоимости и чистой возможной цене продажи)+</t>
  </si>
  <si>
    <t>Активы по разведке и оценке</t>
  </si>
  <si>
    <t>Reversal of PY offsetting of advances received and TR (Kazakhmys)</t>
  </si>
  <si>
    <t>Offsetting of advances received and TR (Kazakhmys)</t>
  </si>
  <si>
    <t xml:space="preserve">Обязательства по договорам с покупателями, краткосрочные </t>
  </si>
  <si>
    <t>Обязательства по договорам с покупателями, долгосрочные</t>
  </si>
  <si>
    <t>Долгосрочна часть</t>
  </si>
  <si>
    <t>Процентные расходы по вознаграждениям работникам</t>
  </si>
  <si>
    <t>1315.2</t>
  </si>
  <si>
    <t>1316.2</t>
  </si>
  <si>
    <t>3387.1</t>
  </si>
  <si>
    <t>Расходы по обесценению финансовые активов</t>
  </si>
  <si>
    <t>Modification gain on loans Gouden reserves</t>
  </si>
  <si>
    <t>Gain on modification of loans FSBV &amp; TGMK loans</t>
  </si>
  <si>
    <t>Займы полученные</t>
  </si>
  <si>
    <t>Амортизации коммисии по организации займа</t>
  </si>
  <si>
    <t>Изменение в резерве под ожидаемые кредитные убытки</t>
  </si>
  <si>
    <t>ДОХОДЫ/РАСХОДЫ ПО ВОССТАНОВЛЕНИЮ ОБЕСЦЕНЕНИЯ/(ОБЕСЦЕНЕНИЮ) НЕФИНАНСОВЫХ АКТИВОВ</t>
  </si>
  <si>
    <t>Вознаграждение менеджера</t>
  </si>
  <si>
    <t>По требованию</t>
  </si>
  <si>
    <t>Модификация займа, полученного от Акционера</t>
  </si>
  <si>
    <t>Торговая и прочая дебиторская задолженность за минусом резерва по сомнительным долгам в сумме 447,909 тыс. тенге</t>
  </si>
  <si>
    <t>Recognition of DT asset (Kazakhaltyn)</t>
  </si>
  <si>
    <t>Обязательства по подоходному налогу</t>
  </si>
  <si>
    <t>Provision for inventories due to stock-take results (Concern)</t>
  </si>
  <si>
    <t>Correction of revenue recognized in 2017 cutoff</t>
  </si>
  <si>
    <t>Reclassification of payables from LT to ST (Eprioc Rock Drills)</t>
  </si>
  <si>
    <t>Reversal of forex loss related to Atlas Copco</t>
  </si>
  <si>
    <t>Recognition of unwinding discount related to Atlas Copco</t>
  </si>
  <si>
    <t>Reclassification of payables to Atlas Copco from LT to ST</t>
  </si>
  <si>
    <t>Accrual of depreciation for transferred items in PY</t>
  </si>
  <si>
    <t>Impairment of not accepted projects</t>
  </si>
  <si>
    <t>Reclassification from CIP to E&amp;E assets (new Ushtogan field)</t>
  </si>
  <si>
    <t>Accrual of depreciation for ARO asset</t>
  </si>
  <si>
    <t>Accrual of provision for LT prepayments to M&amp;A Solutions</t>
  </si>
  <si>
    <t>Reclass of prepayments workdone by Terenkol (fences)</t>
  </si>
  <si>
    <t>Amortization of unwinding discount of historical costs</t>
  </si>
  <si>
    <t>Reclass of social liabilities from LT to ST:</t>
  </si>
  <si>
    <t>Accrual of liability from subsoil use contracts (145 - social-economic development, 1% of invest.)</t>
  </si>
  <si>
    <t>Accrual of liability from subsoil use contracts (145 - education, 1% of net income)</t>
  </si>
  <si>
    <t>Disposal of tires in use (Kazakhaltyn)</t>
  </si>
  <si>
    <t>Reclassification of expenses related to shaft works from prepaid expenses</t>
  </si>
  <si>
    <t>Impairment of mining assets (strings)</t>
  </si>
  <si>
    <t>Accrual of depreciation by UOP</t>
  </si>
  <si>
    <t>Accrual of additional depreciation by straight-line</t>
  </si>
  <si>
    <t>Reversal of provision for inventories due to stock-take results</t>
  </si>
  <si>
    <t>Reclassification of advances received from ST to LT (Kazakhmys for gravy &amp; float concentrate)</t>
  </si>
  <si>
    <t>Impairment of CIP w/o invest codes &amp; project w/ Gornyak</t>
  </si>
  <si>
    <t>Reversal of impairment (Узловое опробование)</t>
  </si>
  <si>
    <t>Revenue cutoff recognized in 2019 but related to 2018 (Kazakhmys)</t>
  </si>
  <si>
    <t>Reversal of interest expenses for loan #01-17-17-01 (Halyk)</t>
  </si>
  <si>
    <t>Amortization of discount for loan #01-17-17-01 (Halyk)</t>
  </si>
  <si>
    <t>Forex gain on loan #01-17-17-01 (Halyk)</t>
  </si>
  <si>
    <t>Reclassification of discount at the end of the year on loan #01-17-17-01 (Halyk)</t>
  </si>
  <si>
    <t>Reclassification of principal on loan #01-17-17-01 (Halyk)</t>
  </si>
  <si>
    <t>Reclassification of discount at the beginning of the year on loan #01-17-17-01 (Halyk)</t>
  </si>
  <si>
    <t>Reversal of interest expenses for loan #01-17-17-02 (Halyk)</t>
  </si>
  <si>
    <t>Amortization of discount for loan #01-17-17-02 (Halyk)</t>
  </si>
  <si>
    <t>Forex gain on loan #01-17-17-02 (Halyk)</t>
  </si>
  <si>
    <t>Reclassification of discount at the end of the year on loan #01-17-17-02 (Halyk)</t>
  </si>
  <si>
    <t>Reclassification of principal on loan #01-17-17-02 (Halyk)</t>
  </si>
  <si>
    <t>Reclassification of discount at the beginning of the year on loan #01-17-17-02 (Halyk)</t>
  </si>
  <si>
    <t>Amortization of commission of loan #01-14-01-01 (Halyk)</t>
  </si>
  <si>
    <t>Amortization of commission asset of loan #01-14-01-01 (Halyk)</t>
  </si>
  <si>
    <t>Reversal of commissions of short-term commissions of loan #01-14-01-01 (Halyk)</t>
  </si>
  <si>
    <t>Reclassification of commission at the beginning of the year of loan #01-14-01-01 (Halyk)</t>
  </si>
  <si>
    <t>Reclassification FSBV &amp; Gouden reserves (TGMK) loans</t>
  </si>
  <si>
    <t>Amortization of discount FSBV &amp; Gouden (TGMK) loans</t>
  </si>
  <si>
    <t>Gain on extinguishment on FSBV (TGMK) loans</t>
  </si>
  <si>
    <t>Reversal of forex loss on loans FSBV &amp; Gouden (TGMK)</t>
  </si>
  <si>
    <t>Extinguishment of loans by FSBV through equity</t>
  </si>
  <si>
    <t>Recognition of additional interest expenses (FSBV &amp; Gouden)</t>
  </si>
  <si>
    <t>Amortization of discount of loans (FSBV &amp; Gouden)</t>
  </si>
  <si>
    <t>Unwinding discount ARO</t>
  </si>
  <si>
    <t>ECL on TR IFRS 9 adoption effect for BB (Concern)</t>
  </si>
  <si>
    <t>ECL on cash as of 31-Dec-18</t>
  </si>
  <si>
    <t>ECL on TR EB 2018</t>
  </si>
  <si>
    <t>Recognition of additional EBO as of 31-Dec-18</t>
  </si>
  <si>
    <t>Reclass of EBO from LT to ST</t>
  </si>
  <si>
    <t>Change in estimate in ARO</t>
  </si>
  <si>
    <t>Reversal of PY accrued impairment due to results of value-in-use calculation</t>
  </si>
  <si>
    <t>Recognition of liability to AAE on manager's reward (30% of NCF)</t>
  </si>
  <si>
    <t>Correction of EBO posted on COP</t>
  </si>
  <si>
    <t>Disposal of PPE AAE recofnized in 2016</t>
  </si>
  <si>
    <t>Accrual of additional CIT expenses after reclassification to non-contractual activity</t>
  </si>
  <si>
    <t>Recognition of penalty and fines for late declaration and deviation from CIT advance payments</t>
  </si>
  <si>
    <t>Поздняя корректировка</t>
  </si>
  <si>
    <t>Per TS</t>
  </si>
  <si>
    <t>diff</t>
  </si>
  <si>
    <t>OB adj 1 КаТех</t>
  </si>
  <si>
    <t>OB adj 2 КаТех</t>
  </si>
  <si>
    <t>OB adj 3 КаТех</t>
  </si>
  <si>
    <t>Fina diff</t>
  </si>
  <si>
    <t>OB adj 4 КаТех</t>
  </si>
  <si>
    <t>OB adj 5 КаТех</t>
  </si>
  <si>
    <t>OB adj 6 КаТех</t>
  </si>
  <si>
    <t>OB adj 7 КаТех</t>
  </si>
  <si>
    <t>AFTER OB</t>
  </si>
  <si>
    <t>OB adj 1 Казахалтын</t>
  </si>
  <si>
    <t>OB adj 2 Казахалтын</t>
  </si>
  <si>
    <t>OB adj 3 Казахалтын</t>
  </si>
  <si>
    <t>OB adj 4 Казахалтын</t>
  </si>
  <si>
    <t>OB adj 5 Казахалтын</t>
  </si>
  <si>
    <t>Total OB adj КаТех</t>
  </si>
  <si>
    <t>КАЗАХАЛТЫН</t>
  </si>
  <si>
    <t>Займы выданные, долгосрочные</t>
  </si>
  <si>
    <t>OB adj 6 Казахалтын</t>
  </si>
  <si>
    <t>OB adj 7 Казахалтын</t>
  </si>
  <si>
    <t>OB adj 8 Казахалтын</t>
  </si>
  <si>
    <t>OB adj 9 Казахалтын</t>
  </si>
  <si>
    <t>OB adj 10 Казахалтын</t>
  </si>
  <si>
    <t>OB adj 11 Казахалтын</t>
  </si>
  <si>
    <t>OB adj 12 Казахалтын</t>
  </si>
  <si>
    <t>OB adj 13 Казахалтын</t>
  </si>
  <si>
    <t>OB adj 14 Казахалтын</t>
  </si>
  <si>
    <t>OB adj 15 Казахалтын</t>
  </si>
  <si>
    <t>OB adj 16 Казахалтын</t>
  </si>
  <si>
    <t>OB adj 17 Казахалтын</t>
  </si>
  <si>
    <t>OB adj 18 Казахалтын</t>
  </si>
  <si>
    <t>OB adj 19 Казахалтын</t>
  </si>
  <si>
    <t>OB adj 20 Казахалтын</t>
  </si>
  <si>
    <t>OB adj 21 Казахалтын</t>
  </si>
  <si>
    <t>OB adj 22 Казахалтын</t>
  </si>
  <si>
    <t>OB adj 23 Казахалтын</t>
  </si>
  <si>
    <t>OB adj 24 Казахалтын</t>
  </si>
  <si>
    <t>OB adj 25 Казахалтын</t>
  </si>
  <si>
    <t>OB adj 26 Казахалтын</t>
  </si>
  <si>
    <t>OB adj 27 Казахалтын</t>
  </si>
  <si>
    <t>OB adj 28 Казахалтын</t>
  </si>
  <si>
    <t>OB adj 29 Казахалтын</t>
  </si>
  <si>
    <t>explained diff</t>
  </si>
  <si>
    <t>OB adj 30 Казахалтын</t>
  </si>
  <si>
    <t>OB adj 31 Казахалтын</t>
  </si>
  <si>
    <t>OB adj 32 Казахалтын</t>
  </si>
  <si>
    <t>OB adj 34 Казахалтын</t>
  </si>
  <si>
    <t>OB adj 33 Казахалтын</t>
  </si>
  <si>
    <t>OB adj 35 Казахалтын</t>
  </si>
  <si>
    <t>OB adj 36 Казахалтын</t>
  </si>
  <si>
    <t>OB adj 37 Казахалтын</t>
  </si>
  <si>
    <t>Final diff</t>
  </si>
  <si>
    <t>OB adj 38 Казахалтын</t>
  </si>
  <si>
    <t>OB adj 39 Казахалтын</t>
  </si>
  <si>
    <t>OB adj 40 Казахалтын</t>
  </si>
  <si>
    <t>OB adj 41 Казахалтын</t>
  </si>
  <si>
    <t>OB adj 42 Казахалтын</t>
  </si>
  <si>
    <t>OB adj 43 Казахалтын</t>
  </si>
  <si>
    <t>OB adj 44 Казахалтын</t>
  </si>
  <si>
    <t>OB adj 45 Казахалтын</t>
  </si>
  <si>
    <t>OB adj 46 Казахалтын</t>
  </si>
  <si>
    <t>OB adj 47 Казахалтын</t>
  </si>
  <si>
    <t>OB adj 48 Казахалтын</t>
  </si>
  <si>
    <t>OB adj 49 Казахалтын</t>
  </si>
  <si>
    <t>OB adj 50 Казахалтын</t>
  </si>
  <si>
    <t>OB adj 51 Казахалтын</t>
  </si>
  <si>
    <t>OB adj 52 Казахалтын</t>
  </si>
  <si>
    <t>OB adj 53 Казахалтын</t>
  </si>
  <si>
    <t>OB adj 54 Казахалтын</t>
  </si>
  <si>
    <t>OB adj 55 Казахалтын</t>
  </si>
  <si>
    <t>OB adj 56 Казахалтын</t>
  </si>
  <si>
    <t>OB adj 57 Казахалтын</t>
  </si>
  <si>
    <t>OB adj 58 Казахалтын</t>
  </si>
  <si>
    <t>OB adj 59 Казахалтын</t>
  </si>
  <si>
    <t>OB adj 60 Казахалтын</t>
  </si>
  <si>
    <t>OB adj 61 Казахалтын</t>
  </si>
  <si>
    <t>OB adj 62 Казахалтын</t>
  </si>
  <si>
    <t>OB adj 63 Казахалтын</t>
  </si>
  <si>
    <t>OB adj 64 Казахалтын</t>
  </si>
  <si>
    <t>OB adj 65 Казахалтын</t>
  </si>
  <si>
    <t>OB adj 66 Казахалтын</t>
  </si>
  <si>
    <t>OB adj 67 Казахалтын</t>
  </si>
  <si>
    <t>OB adj 68 Казахалтын</t>
  </si>
  <si>
    <t>OB adj 69 Казахалтын</t>
  </si>
  <si>
    <t>OB adj 70 Казахалтын</t>
  </si>
  <si>
    <t>OB adj 71 Казахалтын</t>
  </si>
  <si>
    <t>OB adj 72 Казахалтын</t>
  </si>
  <si>
    <t>OB adj 73 Казахалтын</t>
  </si>
  <si>
    <t>OB adj 74 Казахалтын</t>
  </si>
  <si>
    <t>OB adj 75 Казахалтын</t>
  </si>
  <si>
    <t>OB adj 76 Казахалтын</t>
  </si>
  <si>
    <t>OB adj 77 Казахалтын</t>
  </si>
  <si>
    <t>OB adj 78 Казахалтын</t>
  </si>
  <si>
    <t>OB adj 79 Казахалтын</t>
  </si>
  <si>
    <t>OB adj 80 Казахалтын</t>
  </si>
  <si>
    <t>OB adj 81 Казахалтын</t>
  </si>
  <si>
    <t>OB adj 82 Казахалтын</t>
  </si>
  <si>
    <t>1 Полугодие 2019 г.</t>
  </si>
  <si>
    <t>301</t>
  </si>
  <si>
    <t>333</t>
  </si>
  <si>
    <t>Задолженность работников и др.лиц</t>
  </si>
  <si>
    <t>351</t>
  </si>
  <si>
    <t>Авансы-товарно-материальн.запасы</t>
  </si>
  <si>
    <t>352</t>
  </si>
  <si>
    <t>Авансы-работы и оказанные услуги</t>
  </si>
  <si>
    <t>631</t>
  </si>
  <si>
    <t>Корпоративный подоход.налог к выплате</t>
  </si>
  <si>
    <t>633</t>
  </si>
  <si>
    <t>635</t>
  </si>
  <si>
    <t>639</t>
  </si>
  <si>
    <t>Прочие налоги, сборы и обязательные платежи в бюджет</t>
  </si>
  <si>
    <t>671</t>
  </si>
  <si>
    <t>Счета к оплате</t>
  </si>
  <si>
    <t>681</t>
  </si>
  <si>
    <t>ОплатаТруда</t>
  </si>
  <si>
    <t>687</t>
  </si>
  <si>
    <t>Дебиторская задолженность, оцениваемая по амортизированной стоимости:</t>
  </si>
  <si>
    <t>Дебиторская задолженность, оцениваемая по справедливой стоимости через прибыль и убыток</t>
  </si>
  <si>
    <t>2019 г.</t>
  </si>
  <si>
    <t>Стоимость услуг текущего периода</t>
  </si>
  <si>
    <t>Процентные расходы</t>
  </si>
  <si>
    <t>Выплаты, произведённые за год</t>
  </si>
  <si>
    <t>Gouden Reserves B.V. (ii)</t>
  </si>
  <si>
    <t>Возмещение</t>
  </si>
  <si>
    <t>Доходы лаборатории</t>
  </si>
  <si>
    <t>Расходы на электричество</t>
  </si>
  <si>
    <t>Расходы по охране</t>
  </si>
  <si>
    <t>Расходы на транспорт</t>
  </si>
  <si>
    <t>Минус: резерв  под ожидаемые кредитные убытки</t>
  </si>
  <si>
    <t>Изменения в обязательствах по договорам с покупателями</t>
  </si>
  <si>
    <t>Прибыль до подоходного налога</t>
  </si>
  <si>
    <t>Расход по подоходному налогу</t>
  </si>
  <si>
    <t>Прибыль до налогооблажения</t>
  </si>
  <si>
    <t>ОСНОВНЫЕ СРЕДСТВА</t>
  </si>
  <si>
    <t>6,5%-8,7%</t>
  </si>
  <si>
    <t>Директор по финансам и экономике</t>
  </si>
  <si>
    <t>Каракесов Р.М.</t>
  </si>
  <si>
    <t>Главный бухгалтер</t>
  </si>
  <si>
    <t>Жунусова К.С.</t>
  </si>
  <si>
    <t>Справочно:</t>
  </si>
  <si>
    <t>балансовая стоимость  простой акции, тенге</t>
  </si>
  <si>
    <t>На 31 декабря 2017 года (аудированные)</t>
  </si>
  <si>
    <t>На 31 декабря 2018 года (аудированные)</t>
  </si>
  <si>
    <t>неаудированная консолидированная финансовая отчетность</t>
  </si>
  <si>
    <t>все суммы в тысячах тенге</t>
  </si>
  <si>
    <t>Все суммы в тысячах тенге</t>
  </si>
  <si>
    <t xml:space="preserve">Наименование: АО "Горно металлургический концерн Казахалтын" </t>
  </si>
  <si>
    <t xml:space="preserve">ПРОМЕЖУТОЧНЫЙ КОНСОЛИДИРОВАННЫЙ ОТЧЕТ О ПРИБЫЛИ ИЛИ УБЫТКЕ </t>
  </si>
  <si>
    <t>Прибыль за период</t>
  </si>
  <si>
    <t>Поступления денежных средств от операционной деятельности</t>
  </si>
  <si>
    <t>31 декабря 2018 года
(аудированные)</t>
  </si>
  <si>
    <t>Итого активы</t>
  </si>
  <si>
    <t xml:space="preserve">прибыль на акцию : </t>
  </si>
  <si>
    <t>Базовая прибыль за период, приходящаяся на держателей обыкновенных акций материнской организации (в тенге)</t>
  </si>
  <si>
    <t>Разводненная прибыль за период, приходящаяся на держателей обыкновенных акций материнской организации (в тенге)</t>
  </si>
  <si>
    <t>Итого совокупный доход за период, за вычетом налогов</t>
  </si>
  <si>
    <t>Прочий совокупный доход за период</t>
  </si>
  <si>
    <t>Прощение займа, полученного от материнской компании</t>
  </si>
  <si>
    <t>Директор по финансам и экономике</t>
  </si>
  <si>
    <t>9 месяцев 2019 г.
(неаудированнные)</t>
  </si>
  <si>
    <t>9 месяцев 2018 г.
(неаудированные)</t>
  </si>
  <si>
    <t xml:space="preserve"> ПРОМЕЖУТОЧНЫЙ КОНСОЛИДИРОВАННЫЙ ОТЧЕТ О ДВИЖЕНИИ ДЕНЕЖНЫХ СРЕДСТВ за девять месяцев, закончившихся 30 сентября 2019 года</t>
  </si>
  <si>
    <t>Денежные средства и их эквиваленты на 30 сентября</t>
  </si>
  <si>
    <t>Списание обязательств</t>
  </si>
  <si>
    <t>Прибыль от выбытия основных средств и нематериальных активов, нетто</t>
  </si>
  <si>
    <t>30 сентября 2019 года
( неаудированные)</t>
  </si>
  <si>
    <t>по состоянию на 30 сентября 2019 года</t>
  </si>
  <si>
    <t>9 месяцев 2019 года 
(неаудированные)</t>
  </si>
  <si>
    <t>9 месяцев 2018 года 
(неаудированные)</t>
  </si>
  <si>
    <t>за девять месяцев, закончившихся 30 сентября 2019 года</t>
  </si>
  <si>
    <t>На 30 сентября 2019 года (неаудированные)</t>
  </si>
  <si>
    <t>На 30 сентября 2019 г.</t>
  </si>
  <si>
    <t>30 сентября 2019 г.</t>
  </si>
  <si>
    <t>Начисленный за период</t>
  </si>
  <si>
    <t>Начисление на период</t>
  </si>
  <si>
    <t>На 30 сентября</t>
  </si>
  <si>
    <t>30 сентября 2018 г.</t>
  </si>
  <si>
    <t>На 1 января 2018 года</t>
  </si>
  <si>
    <t xml:space="preserve">Амортизация дисконта </t>
  </si>
  <si>
    <t>На 30 сентября 2019 года</t>
  </si>
  <si>
    <t>9 м 2019 года</t>
  </si>
  <si>
    <t>9м 2019 года</t>
  </si>
  <si>
    <t>9м 2018 года</t>
  </si>
  <si>
    <t>9 м 2018 года</t>
  </si>
  <si>
    <t>Доходы от реализации основных средств материалов</t>
  </si>
  <si>
    <t>Доход от продажи материалов</t>
  </si>
  <si>
    <t>Доход от списания задолженности</t>
  </si>
  <si>
    <t>Убыток от выбытия материалов</t>
  </si>
  <si>
    <t>Расходы по созданию резерва товарно-материальным запасам</t>
  </si>
  <si>
    <t>И ПРОЧЕМ СОВОКУПНОМ ДОХОДЕ за девять месяцев, закончившихся 30 сентября 2019 года</t>
  </si>
  <si>
    <t>(Восстановление)/начисление убытка по обесценению финансовые активов</t>
  </si>
  <si>
    <t>Отрицательная курсовая разница, нетто</t>
  </si>
  <si>
    <t>Начисление убытка по обесценению нефинансовых активов</t>
  </si>
  <si>
    <t>Налог у источника выплаты при погашении начисленных процентов Gouden (i)</t>
  </si>
  <si>
    <t>Генеральный директор</t>
  </si>
  <si>
    <t>Маханов Б.Б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</si>
</sst>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#,##0\ &quot;₽&quot;;\-#,##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_(* #,##0_);_(* \(#,##0\);_(* &quot;-&quot;??_);_(@_)"/>
    <numFmt numFmtId="166" formatCode="#,##0.00_ ;[Red]\-#,##0.00\ "/>
    <numFmt numFmtId="167" formatCode="_ * #,##0.00_ ;_ * \-#,##0.00_ ;_ * &quot;-&quot;??_ ;_ @_ "/>
    <numFmt numFmtId="168" formatCode="_ * #,##0_ ;_ * \-#,##0_ ;_ * &quot;-&quot;_ ;_ @_ "/>
    <numFmt numFmtId="169" formatCode="General_)"/>
    <numFmt numFmtId="170" formatCode="#,##0;\-#,##0;&quot;-&quot;"/>
    <numFmt numFmtId="171" formatCode="_ &quot;₽&quot;\ * #,##0.0_ ;_ &quot;₽&quot;\ * \-#,##0.0_ ;_ &quot;₽&quot;\ * &quot;-&quot;??_ ;_ @_ "/>
    <numFmt numFmtId="172" formatCode="_-* #,##0.00_р_._-;\-* #,##0.00_р_._-;_-* &quot;-&quot;??_р_._-;_-@_-"/>
    <numFmt numFmtId="173" formatCode="_(* #,##0.0_);_(* \(#,##0.0\);_(* &quot;-&quot;?_);_(@_)"/>
    <numFmt numFmtId="174" formatCode="* \(#,##0\);* #,##0_);&quot;-&quot;??_);@"/>
    <numFmt numFmtId="175" formatCode="* #,##0_);* \(#,##0\);&quot;-&quot;??_);@"/>
    <numFmt numFmtId="176" formatCode="mmm/dd"/>
    <numFmt numFmtId="177" formatCode="\(#,##0.0\)"/>
    <numFmt numFmtId="178" formatCode="#,##0\ &quot;?.&quot;;\-#,##0\ &quot;?.&quot;"/>
    <numFmt numFmtId="179" formatCode="0%_);\(0%\)"/>
    <numFmt numFmtId="180" formatCode="0.00%_);\(0.00%\)"/>
    <numFmt numFmtId="181" formatCode="mm/dd/yy"/>
    <numFmt numFmtId="182" formatCode="_-* #,##0.00&quot;р.&quot;_-;\-* #,##0.00&quot;р.&quot;_-;_-* &quot;-&quot;??&quot;р.&quot;_-;_-@_-"/>
    <numFmt numFmtId="183" formatCode="_-* #,##0_-;\-* #,##0_-;_-* &quot;-&quot;_-;_-@_-"/>
    <numFmt numFmtId="184" formatCode="_-* #,##0.00_-;\-* #,##0.00_-;_-* &quot;-&quot;??_-;_-@_-"/>
    <numFmt numFmtId="185" formatCode="_(* #,##0_);_(* \(#,##0\);_(* &quot;-&quot;_);_(@_)"/>
    <numFmt numFmtId="186" formatCode="_-* #,##0\ _₽_-;\-* #,##0\ _₽_-;_-* &quot;-&quot;??\ _₽_-;_-@_-"/>
    <numFmt numFmtId="187" formatCode="_(* #,##0.00_);_(* \(#,##0.00\);_(* &quot;-&quot;??_);_(@_)"/>
    <numFmt numFmtId="188" formatCode="[$-409]d/mmm/yy;@"/>
    <numFmt numFmtId="189" formatCode="0.00;[Red]\-0.00"/>
    <numFmt numFmtId="190" formatCode="_-* #,##0\ _₸_-;\-* #,##0\ _₸_-;_-* &quot;-&quot;\ _₸_-;_-@_-"/>
  </numFmts>
  <fonts count="1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i/>
      <sz val="9"/>
      <color rgb="FFFF0000"/>
      <name val="Cambria"/>
      <family val="1"/>
      <charset val="204"/>
      <scheme val="maj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name val="Arial"/>
      <family val="2"/>
    </font>
    <font>
      <sz val="10"/>
      <name val="Arial"/>
      <family val="2"/>
    </font>
    <font>
      <sz val="9"/>
      <color rgb="FFFF0000"/>
      <name val="Cambria"/>
      <family val="1"/>
      <charset val="204"/>
      <scheme val="major"/>
    </font>
    <font>
      <sz val="9"/>
      <color rgb="FFFF0000"/>
      <name val="Arial"/>
      <family val="2"/>
    </font>
    <font>
      <b/>
      <sz val="9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name val="Arial"/>
      <family val="2"/>
    </font>
    <font>
      <sz val="9"/>
      <color rgb="FFFF0000"/>
      <name val="Calibri"/>
      <family val="2"/>
      <charset val="204"/>
      <scheme val="minor"/>
    </font>
    <font>
      <b/>
      <sz val="10"/>
      <name val="Arial"/>
      <family val="2"/>
    </font>
    <font>
      <b/>
      <sz val="9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Helv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11"/>
      <color rgb="FF9C0006"/>
      <name val="Calibri"/>
      <family val="2"/>
      <scheme val="minor"/>
    </font>
    <font>
      <sz val="9"/>
      <color indexed="20"/>
      <name val="Verdana"/>
      <family val="2"/>
    </font>
    <font>
      <sz val="12"/>
      <name val="Tms Rmn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indexed="52"/>
      <name val="Verdana"/>
      <family val="2"/>
    </font>
    <font>
      <b/>
      <sz val="11"/>
      <name val="Comic Sans MS"/>
      <family val="4"/>
    </font>
    <font>
      <b/>
      <sz val="11"/>
      <color theme="0"/>
      <name val="Calibri"/>
      <family val="2"/>
      <scheme val="minor"/>
    </font>
    <font>
      <b/>
      <sz val="9"/>
      <color indexed="9"/>
      <name val="Verdana"/>
      <family val="2"/>
    </font>
    <font>
      <sz val="10"/>
      <name val="MS Serif"/>
      <family val="1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9"/>
      <name val="Arial Cyr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i/>
      <sz val="11"/>
      <color rgb="FF7F7F7F"/>
      <name val="Calibri"/>
      <family val="2"/>
      <scheme val="minor"/>
    </font>
    <font>
      <i/>
      <sz val="9"/>
      <color indexed="23"/>
      <name val="Verdana"/>
      <family val="2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11"/>
      <color rgb="FF006100"/>
      <name val="Calibri"/>
      <family val="2"/>
      <scheme val="minor"/>
    </font>
    <font>
      <sz val="9"/>
      <color indexed="17"/>
      <name val="Verdana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Verdan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Verdan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Verdana"/>
      <family val="2"/>
    </font>
    <font>
      <u/>
      <sz val="8.1999999999999993"/>
      <color theme="10"/>
      <name val="Arial"/>
      <family val="2"/>
      <charset val="204"/>
    </font>
    <font>
      <sz val="11"/>
      <color rgb="FF3F3F76"/>
      <name val="Calibri"/>
      <family val="2"/>
      <scheme val="minor"/>
    </font>
    <font>
      <sz val="9"/>
      <color indexed="62"/>
      <name val="Verdan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rgb="FFFA7D00"/>
      <name val="Calibri"/>
      <family val="2"/>
      <scheme val="minor"/>
    </font>
    <font>
      <sz val="9"/>
      <color indexed="52"/>
      <name val="Verdana"/>
      <family val="2"/>
    </font>
    <font>
      <b/>
      <sz val="8"/>
      <color indexed="55"/>
      <name val="Comic Sans MS"/>
      <family val="4"/>
    </font>
    <font>
      <sz val="11"/>
      <color rgb="FF9C6500"/>
      <name val="Calibri"/>
      <family val="2"/>
      <scheme val="minor"/>
    </font>
    <font>
      <sz val="9"/>
      <color indexed="60"/>
      <name val="Verdana"/>
      <family val="2"/>
    </font>
    <font>
      <sz val="10"/>
      <name val="Arial Cyr"/>
    </font>
    <font>
      <sz val="10"/>
      <name val="Arial Cyr"/>
      <charset val="204"/>
    </font>
    <font>
      <sz val="11"/>
      <name val="Times New Roman Cyr"/>
      <charset val="204"/>
    </font>
    <font>
      <b/>
      <sz val="11"/>
      <color rgb="FF3F3F3F"/>
      <name val="Calibri"/>
      <family val="2"/>
      <scheme val="minor"/>
    </font>
    <font>
      <b/>
      <sz val="9"/>
      <color indexed="63"/>
      <name val="Verdana"/>
      <family val="2"/>
    </font>
    <font>
      <sz val="8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11"/>
      <color rgb="FFFF0000"/>
      <name val="Calibri"/>
      <family val="2"/>
      <scheme val="minor"/>
    </font>
    <font>
      <sz val="9"/>
      <color indexed="10"/>
      <name val="Verdana"/>
      <family val="2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10"/>
      <color theme="3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0070C0"/>
      <name val="Arial"/>
      <family val="2"/>
      <charset val="1"/>
    </font>
    <font>
      <i/>
      <sz val="10"/>
      <color theme="1"/>
      <name val="Cambria"/>
      <family val="1"/>
      <charset val="204"/>
      <scheme val="major"/>
    </font>
    <font>
      <b/>
      <sz val="1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2" fillId="0" borderId="0" applyFont="0" applyFill="0" applyBorder="0" applyAlignment="0" applyProtection="0"/>
    <xf numFmtId="0" fontId="49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167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76" fillId="0" borderId="0"/>
    <xf numFmtId="0" fontId="77" fillId="0" borderId="0"/>
    <xf numFmtId="0" fontId="78" fillId="0" borderId="0"/>
    <xf numFmtId="0" fontId="76" fillId="0" borderId="0"/>
    <xf numFmtId="0" fontId="17" fillId="0" borderId="0"/>
    <xf numFmtId="0" fontId="76" fillId="0" borderId="0"/>
    <xf numFmtId="0" fontId="32" fillId="14" borderId="0" applyNumberFormat="0" applyBorder="0" applyAlignment="0" applyProtection="0"/>
    <xf numFmtId="0" fontId="34" fillId="14" borderId="0" applyNumberFormat="0" applyBorder="0" applyAlignment="0" applyProtection="0"/>
    <xf numFmtId="0" fontId="79" fillId="41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4" fillId="18" borderId="0" applyNumberFormat="0" applyBorder="0" applyAlignment="0" applyProtection="0"/>
    <xf numFmtId="0" fontId="79" fillId="42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4" fillId="22" borderId="0" applyNumberFormat="0" applyBorder="0" applyAlignment="0" applyProtection="0"/>
    <xf numFmtId="0" fontId="79" fillId="43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4" fillId="26" borderId="0" applyNumberFormat="0" applyBorder="0" applyAlignment="0" applyProtection="0"/>
    <xf numFmtId="0" fontId="79" fillId="44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4" fillId="30" borderId="0" applyNumberFormat="0" applyBorder="0" applyAlignment="0" applyProtection="0"/>
    <xf numFmtId="0" fontId="79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4" fillId="34" borderId="0" applyNumberFormat="0" applyBorder="0" applyAlignment="0" applyProtection="0"/>
    <xf numFmtId="0" fontId="79" fillId="46" borderId="0" applyNumberFormat="0" applyBorder="0" applyAlignment="0" applyProtection="0"/>
    <xf numFmtId="0" fontId="32" fillId="34" borderId="0" applyNumberFormat="0" applyBorder="0" applyAlignment="0" applyProtection="0"/>
    <xf numFmtId="0" fontId="32" fillId="15" borderId="0" applyNumberFormat="0" applyBorder="0" applyAlignment="0" applyProtection="0"/>
    <xf numFmtId="0" fontId="34" fillId="15" borderId="0" applyNumberFormat="0" applyBorder="0" applyAlignment="0" applyProtection="0"/>
    <xf numFmtId="0" fontId="79" fillId="47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4" fillId="19" borderId="0" applyNumberFormat="0" applyBorder="0" applyAlignment="0" applyProtection="0"/>
    <xf numFmtId="0" fontId="79" fillId="48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4" fillId="23" borderId="0" applyNumberFormat="0" applyBorder="0" applyAlignment="0" applyProtection="0"/>
    <xf numFmtId="0" fontId="79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4" fillId="27" borderId="0" applyNumberFormat="0" applyBorder="0" applyAlignment="0" applyProtection="0"/>
    <xf numFmtId="0" fontId="79" fillId="44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4" fillId="31" borderId="0" applyNumberFormat="0" applyBorder="0" applyAlignment="0" applyProtection="0"/>
    <xf numFmtId="0" fontId="79" fillId="4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4" fillId="35" borderId="0" applyNumberFormat="0" applyBorder="0" applyAlignment="0" applyProtection="0"/>
    <xf numFmtId="0" fontId="79" fillId="50" borderId="0" applyNumberFormat="0" applyBorder="0" applyAlignment="0" applyProtection="0"/>
    <xf numFmtId="0" fontId="32" fillId="35" borderId="0" applyNumberFormat="0" applyBorder="0" applyAlignment="0" applyProtection="0"/>
    <xf numFmtId="0" fontId="66" fillId="16" borderId="0" applyNumberFormat="0" applyBorder="0" applyAlignment="0" applyProtection="0"/>
    <xf numFmtId="0" fontId="49" fillId="16" borderId="0" applyNumberFormat="0" applyBorder="0" applyAlignment="0" applyProtection="0"/>
    <xf numFmtId="0" fontId="80" fillId="51" borderId="0" applyNumberFormat="0" applyBorder="0" applyAlignment="0" applyProtection="0"/>
    <xf numFmtId="0" fontId="66" fillId="20" borderId="0" applyNumberFormat="0" applyBorder="0" applyAlignment="0" applyProtection="0"/>
    <xf numFmtId="0" fontId="49" fillId="20" borderId="0" applyNumberFormat="0" applyBorder="0" applyAlignment="0" applyProtection="0"/>
    <xf numFmtId="0" fontId="80" fillId="48" borderId="0" applyNumberFormat="0" applyBorder="0" applyAlignment="0" applyProtection="0"/>
    <xf numFmtId="0" fontId="66" fillId="24" borderId="0" applyNumberFormat="0" applyBorder="0" applyAlignment="0" applyProtection="0"/>
    <xf numFmtId="0" fontId="49" fillId="24" borderId="0" applyNumberFormat="0" applyBorder="0" applyAlignment="0" applyProtection="0"/>
    <xf numFmtId="0" fontId="80" fillId="49" borderId="0" applyNumberFormat="0" applyBorder="0" applyAlignment="0" applyProtection="0"/>
    <xf numFmtId="0" fontId="66" fillId="28" borderId="0" applyNumberFormat="0" applyBorder="0" applyAlignment="0" applyProtection="0"/>
    <xf numFmtId="0" fontId="49" fillId="28" borderId="0" applyNumberFormat="0" applyBorder="0" applyAlignment="0" applyProtection="0"/>
    <xf numFmtId="0" fontId="80" fillId="52" borderId="0" applyNumberFormat="0" applyBorder="0" applyAlignment="0" applyProtection="0"/>
    <xf numFmtId="0" fontId="66" fillId="32" borderId="0" applyNumberFormat="0" applyBorder="0" applyAlignment="0" applyProtection="0"/>
    <xf numFmtId="0" fontId="49" fillId="32" borderId="0" applyNumberFormat="0" applyBorder="0" applyAlignment="0" applyProtection="0"/>
    <xf numFmtId="0" fontId="80" fillId="53" borderId="0" applyNumberFormat="0" applyBorder="0" applyAlignment="0" applyProtection="0"/>
    <xf numFmtId="0" fontId="66" fillId="36" borderId="0" applyNumberFormat="0" applyBorder="0" applyAlignment="0" applyProtection="0"/>
    <xf numFmtId="0" fontId="49" fillId="36" borderId="0" applyNumberFormat="0" applyBorder="0" applyAlignment="0" applyProtection="0"/>
    <xf numFmtId="0" fontId="80" fillId="54" borderId="0" applyNumberFormat="0" applyBorder="0" applyAlignment="0" applyProtection="0"/>
    <xf numFmtId="0" fontId="66" fillId="13" borderId="0" applyNumberFormat="0" applyBorder="0" applyAlignment="0" applyProtection="0"/>
    <xf numFmtId="0" fontId="49" fillId="13" borderId="0" applyNumberFormat="0" applyBorder="0" applyAlignment="0" applyProtection="0"/>
    <xf numFmtId="0" fontId="80" fillId="55" borderId="0" applyNumberFormat="0" applyBorder="0" applyAlignment="0" applyProtection="0"/>
    <xf numFmtId="0" fontId="66" fillId="17" borderId="0" applyNumberFormat="0" applyBorder="0" applyAlignment="0" applyProtection="0"/>
    <xf numFmtId="0" fontId="49" fillId="17" borderId="0" applyNumberFormat="0" applyBorder="0" applyAlignment="0" applyProtection="0"/>
    <xf numFmtId="0" fontId="80" fillId="56" borderId="0" applyNumberFormat="0" applyBorder="0" applyAlignment="0" applyProtection="0"/>
    <xf numFmtId="0" fontId="66" fillId="21" borderId="0" applyNumberFormat="0" applyBorder="0" applyAlignment="0" applyProtection="0"/>
    <xf numFmtId="0" fontId="49" fillId="21" borderId="0" applyNumberFormat="0" applyBorder="0" applyAlignment="0" applyProtection="0"/>
    <xf numFmtId="0" fontId="80" fillId="57" borderId="0" applyNumberFormat="0" applyBorder="0" applyAlignment="0" applyProtection="0"/>
    <xf numFmtId="0" fontId="66" fillId="25" borderId="0" applyNumberFormat="0" applyBorder="0" applyAlignment="0" applyProtection="0"/>
    <xf numFmtId="0" fontId="49" fillId="25" borderId="0" applyNumberFormat="0" applyBorder="0" applyAlignment="0" applyProtection="0"/>
    <xf numFmtId="0" fontId="80" fillId="52" borderId="0" applyNumberFormat="0" applyBorder="0" applyAlignment="0" applyProtection="0"/>
    <xf numFmtId="0" fontId="66" fillId="29" borderId="0" applyNumberFormat="0" applyBorder="0" applyAlignment="0" applyProtection="0"/>
    <xf numFmtId="0" fontId="49" fillId="29" borderId="0" applyNumberFormat="0" applyBorder="0" applyAlignment="0" applyProtection="0"/>
    <xf numFmtId="0" fontId="80" fillId="53" borderId="0" applyNumberFormat="0" applyBorder="0" applyAlignment="0" applyProtection="0"/>
    <xf numFmtId="0" fontId="66" fillId="33" borderId="0" applyNumberFormat="0" applyBorder="0" applyAlignment="0" applyProtection="0"/>
    <xf numFmtId="0" fontId="49" fillId="33" borderId="0" applyNumberFormat="0" applyBorder="0" applyAlignment="0" applyProtection="0"/>
    <xf numFmtId="0" fontId="80" fillId="58" borderId="0" applyNumberFormat="0" applyBorder="0" applyAlignment="0" applyProtection="0"/>
    <xf numFmtId="0" fontId="81" fillId="7" borderId="0" applyNumberFormat="0" applyBorder="0" applyAlignment="0" applyProtection="0"/>
    <xf numFmtId="0" fontId="40" fillId="7" borderId="0" applyNumberFormat="0" applyBorder="0" applyAlignment="0" applyProtection="0"/>
    <xf numFmtId="0" fontId="82" fillId="42" borderId="0" applyNumberFormat="0" applyBorder="0" applyAlignment="0" applyProtection="0"/>
    <xf numFmtId="0" fontId="83" fillId="0" borderId="0" applyNumberFormat="0" applyFill="0" applyBorder="0" applyAlignment="0" applyProtection="0"/>
    <xf numFmtId="49" fontId="84" fillId="0" borderId="0" applyFill="0" applyBorder="0">
      <alignment horizontal="left"/>
    </xf>
    <xf numFmtId="169" fontId="85" fillId="0" borderId="0" applyFill="0" applyBorder="0">
      <alignment horizontal="left"/>
    </xf>
    <xf numFmtId="49" fontId="86" fillId="0" borderId="0" applyFill="0" applyBorder="0">
      <alignment horizontal="left"/>
    </xf>
    <xf numFmtId="2" fontId="87" fillId="0" borderId="0" applyFill="0" applyBorder="0">
      <alignment horizontal="left"/>
    </xf>
    <xf numFmtId="170" fontId="88" fillId="0" borderId="0" applyFill="0" applyBorder="0" applyAlignment="0"/>
    <xf numFmtId="0" fontId="89" fillId="10" borderId="31" applyNumberFormat="0" applyAlignment="0" applyProtection="0"/>
    <xf numFmtId="0" fontId="44" fillId="10" borderId="31" applyNumberFormat="0" applyAlignment="0" applyProtection="0"/>
    <xf numFmtId="0" fontId="90" fillId="59" borderId="67" applyNumberFormat="0" applyAlignment="0" applyProtection="0"/>
    <xf numFmtId="38" fontId="85" fillId="0" borderId="0">
      <alignment horizontal="left"/>
    </xf>
    <xf numFmtId="169" fontId="91" fillId="0" borderId="0"/>
    <xf numFmtId="0" fontId="92" fillId="11" borderId="34" applyNumberFormat="0" applyAlignment="0" applyProtection="0"/>
    <xf numFmtId="0" fontId="46" fillId="11" borderId="34" applyNumberFormat="0" applyAlignment="0" applyProtection="0"/>
    <xf numFmtId="0" fontId="93" fillId="60" borderId="68" applyNumberFormat="0" applyAlignment="0" applyProtection="0"/>
    <xf numFmtId="0" fontId="29" fillId="0" borderId="45">
      <alignment horizontal="center"/>
    </xf>
    <xf numFmtId="171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4" fillId="0" borderId="0" applyNumberFormat="0" applyAlignment="0">
      <alignment horizontal="left"/>
    </xf>
    <xf numFmtId="42" fontId="95" fillId="3" borderId="0" applyBorder="0"/>
    <xf numFmtId="41" fontId="95" fillId="3" borderId="54" applyBorder="0"/>
    <xf numFmtId="173" fontId="95" fillId="3" borderId="54" applyBorder="0"/>
    <xf numFmtId="9" fontId="95" fillId="3" borderId="66" applyBorder="0"/>
    <xf numFmtId="44" fontId="95" fillId="3" borderId="0" applyBorder="0"/>
    <xf numFmtId="43" fontId="95" fillId="3" borderId="69" applyBorder="0"/>
    <xf numFmtId="174" fontId="96" fillId="0" borderId="0" applyFill="0" applyBorder="0" applyProtection="0"/>
    <xf numFmtId="174" fontId="96" fillId="0" borderId="43" applyFill="0" applyProtection="0"/>
    <xf numFmtId="174" fontId="96" fillId="0" borderId="1" applyFill="0" applyProtection="0"/>
    <xf numFmtId="169" fontId="84" fillId="3" borderId="45" applyNumberFormat="0" applyBorder="0" applyProtection="0">
      <alignment horizontal="right"/>
    </xf>
    <xf numFmtId="0" fontId="97" fillId="3" borderId="70" applyNumberFormat="0" applyFont="0" applyBorder="0" applyAlignment="0" applyProtection="0"/>
    <xf numFmtId="175" fontId="96" fillId="0" borderId="0" applyFill="0" applyBorder="0" applyProtection="0"/>
    <xf numFmtId="175" fontId="96" fillId="0" borderId="43" applyFill="0" applyProtection="0"/>
    <xf numFmtId="175" fontId="96" fillId="0" borderId="1" applyFill="0" applyProtection="0"/>
    <xf numFmtId="175" fontId="75" fillId="0" borderId="0" applyFill="0" applyBorder="0" applyProtection="0"/>
    <xf numFmtId="5" fontId="98" fillId="0" borderId="54" applyFont="0" applyBorder="0"/>
    <xf numFmtId="0" fontId="99" fillId="0" borderId="0" applyNumberFormat="0" applyFill="0" applyBorder="0" applyAlignment="0" applyProtection="0"/>
    <xf numFmtId="0" fontId="100" fillId="0" borderId="0" applyNumberFormat="0" applyAlignment="0">
      <alignment horizontal="left"/>
    </xf>
    <xf numFmtId="37" fontId="17" fillId="0" borderId="0"/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1" fontId="103" fillId="0" borderId="0" applyFill="0" applyBorder="0">
      <alignment horizontal="left"/>
    </xf>
    <xf numFmtId="49" fontId="104" fillId="0" borderId="0">
      <alignment horizontal="left"/>
    </xf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43" fontId="87" fillId="0" borderId="0" applyFill="0" applyBorder="0"/>
    <xf numFmtId="41" fontId="87" fillId="0" borderId="66" applyFill="0" applyBorder="0"/>
    <xf numFmtId="42" fontId="87" fillId="0" borderId="0" applyFill="0" applyBorder="0"/>
    <xf numFmtId="0" fontId="106" fillId="6" borderId="0" applyNumberFormat="0" applyBorder="0" applyAlignment="0" applyProtection="0"/>
    <xf numFmtId="0" fontId="39" fillId="6" borderId="0" applyNumberFormat="0" applyBorder="0" applyAlignment="0" applyProtection="0"/>
    <xf numFmtId="0" fontId="107" fillId="43" borderId="0" applyNumberFormat="0" applyBorder="0" applyAlignment="0" applyProtection="0"/>
    <xf numFmtId="38" fontId="6" fillId="40" borderId="0" applyNumberFormat="0" applyBorder="0" applyAlignment="0" applyProtection="0"/>
    <xf numFmtId="0" fontId="108" fillId="0" borderId="71" applyNumberFormat="0" applyAlignment="0" applyProtection="0">
      <alignment horizontal="left" vertical="center"/>
    </xf>
    <xf numFmtId="0" fontId="108" fillId="0" borderId="65">
      <alignment horizontal="left" vertical="center"/>
    </xf>
    <xf numFmtId="14" fontId="72" fillId="61" borderId="42">
      <alignment horizontal="center" vertical="center" wrapText="1"/>
    </xf>
    <xf numFmtId="0" fontId="109" fillId="0" borderId="28" applyNumberFormat="0" applyFill="0" applyAlignment="0" applyProtection="0"/>
    <xf numFmtId="0" fontId="36" fillId="0" borderId="28" applyNumberFormat="0" applyFill="0" applyAlignment="0" applyProtection="0"/>
    <xf numFmtId="0" fontId="110" fillId="0" borderId="72" applyNumberFormat="0" applyFill="0" applyAlignment="0" applyProtection="0"/>
    <xf numFmtId="0" fontId="111" fillId="0" borderId="29" applyNumberFormat="0" applyFill="0" applyAlignment="0" applyProtection="0"/>
    <xf numFmtId="0" fontId="37" fillId="0" borderId="29" applyNumberFormat="0" applyFill="0" applyAlignment="0" applyProtection="0"/>
    <xf numFmtId="0" fontId="112" fillId="0" borderId="73" applyNumberFormat="0" applyFill="0" applyAlignment="0" applyProtection="0"/>
    <xf numFmtId="0" fontId="113" fillId="0" borderId="30" applyNumberFormat="0" applyFill="0" applyAlignment="0" applyProtection="0"/>
    <xf numFmtId="0" fontId="38" fillId="0" borderId="30" applyNumberFormat="0" applyFill="0" applyAlignment="0" applyProtection="0"/>
    <xf numFmtId="0" fontId="114" fillId="0" borderId="74" applyNumberFormat="0" applyFill="0" applyAlignment="0" applyProtection="0"/>
    <xf numFmtId="0" fontId="1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7" fillId="0" borderId="0"/>
    <xf numFmtId="10" fontId="6" fillId="37" borderId="44" applyNumberFormat="0" applyBorder="0" applyAlignment="0" applyProtection="0"/>
    <xf numFmtId="0" fontId="116" fillId="9" borderId="31" applyNumberFormat="0" applyAlignment="0" applyProtection="0"/>
    <xf numFmtId="0" fontId="42" fillId="9" borderId="31" applyNumberFormat="0" applyAlignment="0" applyProtection="0"/>
    <xf numFmtId="0" fontId="117" fillId="46" borderId="67" applyNumberFormat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122" fillId="0" borderId="0"/>
    <xf numFmtId="0" fontId="122" fillId="0" borderId="0"/>
    <xf numFmtId="0" fontId="123" fillId="0" borderId="33" applyNumberFormat="0" applyFill="0" applyAlignment="0" applyProtection="0"/>
    <xf numFmtId="0" fontId="45" fillId="0" borderId="33" applyNumberFormat="0" applyFill="0" applyAlignment="0" applyProtection="0"/>
    <xf numFmtId="0" fontId="124" fillId="0" borderId="75" applyNumberFormat="0" applyFill="0" applyAlignment="0" applyProtection="0"/>
    <xf numFmtId="169" fontId="125" fillId="0" borderId="76" applyFill="0" applyBorder="0">
      <alignment horizontal="left"/>
    </xf>
    <xf numFmtId="0" fontId="126" fillId="8" borderId="0" applyNumberFormat="0" applyBorder="0" applyAlignment="0" applyProtection="0"/>
    <xf numFmtId="0" fontId="41" fillId="8" borderId="0" applyNumberFormat="0" applyBorder="0" applyAlignment="0" applyProtection="0"/>
    <xf numFmtId="0" fontId="127" fillId="62" borderId="0" applyNumberFormat="0" applyBorder="0" applyAlignment="0" applyProtection="0"/>
    <xf numFmtId="176" fontId="128" fillId="0" borderId="0"/>
    <xf numFmtId="0" fontId="32" fillId="0" borderId="0"/>
    <xf numFmtId="0" fontId="17" fillId="0" borderId="0"/>
    <xf numFmtId="0" fontId="17" fillId="0" borderId="0"/>
    <xf numFmtId="0" fontId="60" fillId="0" borderId="0"/>
    <xf numFmtId="0" fontId="129" fillId="0" borderId="0"/>
    <xf numFmtId="0" fontId="60" fillId="0" borderId="0"/>
    <xf numFmtId="37" fontId="17" fillId="0" borderId="0"/>
    <xf numFmtId="0" fontId="6" fillId="0" borderId="0"/>
    <xf numFmtId="0" fontId="32" fillId="0" borderId="0"/>
    <xf numFmtId="37" fontId="17" fillId="0" borderId="0"/>
    <xf numFmtId="0" fontId="6" fillId="0" borderId="0"/>
    <xf numFmtId="0" fontId="17" fillId="0" borderId="0"/>
    <xf numFmtId="37" fontId="17" fillId="0" borderId="0"/>
    <xf numFmtId="0" fontId="32" fillId="0" borderId="0"/>
    <xf numFmtId="0" fontId="17" fillId="0" borderId="0"/>
    <xf numFmtId="37" fontId="17" fillId="0" borderId="0"/>
    <xf numFmtId="0" fontId="17" fillId="0" borderId="0"/>
    <xf numFmtId="0" fontId="17" fillId="0" borderId="0"/>
    <xf numFmtId="37" fontId="17" fillId="0" borderId="0"/>
    <xf numFmtId="0" fontId="17" fillId="0" borderId="0"/>
    <xf numFmtId="0" fontId="32" fillId="12" borderId="35" applyNumberFormat="0" applyFont="0" applyAlignment="0" applyProtection="0"/>
    <xf numFmtId="0" fontId="34" fillId="12" borderId="35" applyNumberFormat="0" applyFont="0" applyAlignment="0" applyProtection="0"/>
    <xf numFmtId="0" fontId="79" fillId="63" borderId="6" applyNumberFormat="0" applyFont="0" applyAlignment="0" applyProtection="0"/>
    <xf numFmtId="41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73" fontId="87" fillId="0" borderId="0" applyFill="0" applyBorder="0"/>
    <xf numFmtId="177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0" fontId="131" fillId="10" borderId="32" applyNumberFormat="0" applyAlignment="0" applyProtection="0"/>
    <xf numFmtId="0" fontId="43" fillId="10" borderId="32" applyNumberFormat="0" applyAlignment="0" applyProtection="0"/>
    <xf numFmtId="0" fontId="132" fillId="59" borderId="77" applyNumberFormat="0" applyAlignment="0" applyProtection="0"/>
    <xf numFmtId="17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80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9" fontId="87" fillId="0" borderId="66" applyFill="0" applyBorder="0"/>
    <xf numFmtId="44" fontId="87" fillId="0" borderId="0" applyFill="0" applyBorder="0"/>
    <xf numFmtId="43" fontId="87" fillId="0" borderId="0" applyFill="0" applyBorder="0"/>
    <xf numFmtId="181" fontId="133" fillId="0" borderId="0" applyNumberFormat="0" applyFill="0" applyBorder="0" applyAlignment="0" applyProtection="0">
      <alignment horizontal="left"/>
    </xf>
    <xf numFmtId="0" fontId="17" fillId="40" borderId="77" applyNumberFormat="0" applyProtection="0">
      <alignment horizontal="left" vertical="center" indent="1"/>
    </xf>
    <xf numFmtId="0" fontId="17" fillId="64" borderId="77" applyNumberFormat="0" applyProtection="0">
      <alignment horizontal="left" vertical="center" indent="1"/>
    </xf>
    <xf numFmtId="0" fontId="17" fillId="0" borderId="0"/>
    <xf numFmtId="0" fontId="134" fillId="0" borderId="0"/>
    <xf numFmtId="40" fontId="135" fillId="0" borderId="0" applyBorder="0">
      <alignment horizontal="right"/>
    </xf>
    <xf numFmtId="0" fontId="136" fillId="0" borderId="0">
      <alignment horizontal="center" vertical="top"/>
    </xf>
    <xf numFmtId="169" fontId="91" fillId="0" borderId="0" applyNumberFormat="0" applyFill="0" applyBorder="0"/>
    <xf numFmtId="0" fontId="1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36" applyNumberFormat="0" applyFill="0" applyAlignment="0" applyProtection="0"/>
    <xf numFmtId="0" fontId="3" fillId="0" borderId="36" applyNumberFormat="0" applyFill="0" applyAlignment="0" applyProtection="0"/>
    <xf numFmtId="0" fontId="140" fillId="0" borderId="78" applyNumberFormat="0" applyFill="0" applyAlignment="0" applyProtection="0"/>
    <xf numFmtId="0" fontId="1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4" fillId="3" borderId="45" applyFill="0" applyBorder="0">
      <alignment horizontal="right"/>
    </xf>
    <xf numFmtId="0" fontId="143" fillId="0" borderId="0" applyNumberFormat="0" applyFill="0" applyBorder="0" applyAlignment="0" applyProtection="0">
      <alignment vertical="top"/>
      <protection locked="0"/>
    </xf>
    <xf numFmtId="0" fontId="17" fillId="0" borderId="0"/>
    <xf numFmtId="3" fontId="129" fillId="0" borderId="0"/>
    <xf numFmtId="0" fontId="144" fillId="0" borderId="0" applyNumberFormat="0" applyFill="0" applyBorder="0" applyAlignment="0" applyProtection="0">
      <alignment vertical="top"/>
      <protection locked="0"/>
    </xf>
    <xf numFmtId="49" fontId="145" fillId="0" borderId="44" applyNumberFormat="0" applyFill="0" applyAlignment="0" applyProtection="0"/>
    <xf numFmtId="49" fontId="145" fillId="0" borderId="0"/>
    <xf numFmtId="38" fontId="129" fillId="0" borderId="0" applyFont="0" applyFill="0" applyBorder="0" applyAlignment="0" applyProtection="0"/>
    <xf numFmtId="182" fontId="17" fillId="0" borderId="0" applyFont="0" applyFill="0" applyBorder="0" applyAlignment="0" applyProtection="0"/>
    <xf numFmtId="37" fontId="129" fillId="0" borderId="0" applyFont="0" applyBorder="0" applyAlignment="0" applyProtection="0"/>
    <xf numFmtId="0" fontId="6" fillId="0" borderId="0"/>
    <xf numFmtId="0" fontId="6" fillId="0" borderId="0"/>
    <xf numFmtId="0" fontId="32" fillId="0" borderId="0"/>
    <xf numFmtId="184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8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2" fillId="0" borderId="0"/>
    <xf numFmtId="18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0" fontId="164" fillId="0" borderId="0"/>
    <xf numFmtId="0" fontId="17" fillId="0" borderId="0"/>
    <xf numFmtId="0" fontId="32" fillId="0" borderId="0"/>
    <xf numFmtId="187" fontId="165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5" fontId="32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165" fillId="0" borderId="0"/>
    <xf numFmtId="0" fontId="17" fillId="0" borderId="0"/>
    <xf numFmtId="0" fontId="3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87" fontId="32" fillId="0" borderId="0" applyFont="0" applyFill="0" applyBorder="0" applyAlignment="0" applyProtection="0"/>
    <xf numFmtId="0" fontId="34" fillId="0" borderId="0"/>
    <xf numFmtId="0" fontId="165" fillId="0" borderId="0"/>
    <xf numFmtId="0" fontId="165" fillId="0" borderId="0"/>
    <xf numFmtId="0" fontId="168" fillId="0" borderId="0"/>
    <xf numFmtId="187" fontId="34" fillId="0" borderId="0" applyFont="0" applyFill="0" applyBorder="0" applyAlignment="0" applyProtection="0"/>
    <xf numFmtId="0" fontId="32" fillId="0" borderId="0"/>
    <xf numFmtId="187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187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5" fillId="0" borderId="0"/>
    <xf numFmtId="0" fontId="6" fillId="0" borderId="0"/>
    <xf numFmtId="43" fontId="34" fillId="0" borderId="0" applyFont="0" applyFill="0" applyBorder="0" applyAlignment="0" applyProtection="0"/>
  </cellStyleXfs>
  <cellXfs count="101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14" fontId="3" fillId="0" borderId="0" xfId="0" applyNumberFormat="1" applyFont="1"/>
    <xf numFmtId="41" fontId="0" fillId="0" borderId="0" xfId="0" applyNumberFormat="1"/>
    <xf numFmtId="0" fontId="4" fillId="0" borderId="0" xfId="0" applyFont="1" applyFill="1" applyBorder="1"/>
    <xf numFmtId="0" fontId="0" fillId="0" borderId="0" xfId="0" applyFont="1"/>
    <xf numFmtId="0" fontId="10" fillId="2" borderId="3" xfId="1" applyNumberFormat="1" applyFont="1" applyFill="1" applyBorder="1" applyAlignment="1">
      <alignment vertical="top"/>
    </xf>
    <xf numFmtId="0" fontId="7" fillId="0" borderId="0" xfId="1" applyFont="1" applyAlignment="1"/>
    <xf numFmtId="0" fontId="6" fillId="0" borderId="0" xfId="1" applyAlignment="1"/>
    <xf numFmtId="0" fontId="8" fillId="0" borderId="0" xfId="1" applyFont="1" applyAlignment="1"/>
    <xf numFmtId="0" fontId="7" fillId="2" borderId="3" xfId="1" applyNumberFormat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vertical="top"/>
    </xf>
    <xf numFmtId="0" fontId="10" fillId="0" borderId="3" xfId="1" applyNumberFormat="1" applyFont="1" applyBorder="1" applyAlignment="1">
      <alignment vertical="top"/>
    </xf>
    <xf numFmtId="0" fontId="11" fillId="0" borderId="3" xfId="1" applyNumberFormat="1" applyFont="1" applyBorder="1" applyAlignment="1">
      <alignment vertical="top"/>
    </xf>
    <xf numFmtId="41" fontId="9" fillId="0" borderId="3" xfId="1" applyNumberFormat="1" applyFont="1" applyBorder="1" applyAlignment="1">
      <alignment horizontal="right" vertical="top"/>
    </xf>
    <xf numFmtId="41" fontId="10" fillId="0" borderId="3" xfId="1" applyNumberFormat="1" applyFont="1" applyBorder="1" applyAlignment="1">
      <alignment horizontal="right" vertical="top"/>
    </xf>
    <xf numFmtId="41" fontId="11" fillId="0" borderId="3" xfId="1" applyNumberFormat="1" applyFont="1" applyBorder="1" applyAlignment="1">
      <alignment horizontal="right" vertical="top"/>
    </xf>
    <xf numFmtId="41" fontId="12" fillId="0" borderId="3" xfId="1" applyNumberFormat="1" applyFont="1" applyBorder="1" applyAlignment="1">
      <alignment horizontal="right" vertical="top"/>
    </xf>
    <xf numFmtId="41" fontId="13" fillId="0" borderId="3" xfId="1" applyNumberFormat="1" applyFont="1" applyBorder="1" applyAlignment="1">
      <alignment horizontal="right" vertical="top"/>
    </xf>
    <xf numFmtId="41" fontId="14" fillId="0" borderId="3" xfId="1" applyNumberFormat="1" applyFont="1" applyBorder="1" applyAlignment="1">
      <alignment horizontal="right" vertical="top"/>
    </xf>
    <xf numFmtId="41" fontId="10" fillId="2" borderId="3" xfId="1" applyNumberFormat="1" applyFont="1" applyFill="1" applyBorder="1" applyAlignment="1">
      <alignment horizontal="right" vertical="top"/>
    </xf>
    <xf numFmtId="0" fontId="6" fillId="0" borderId="0" xfId="1" applyFill="1" applyAlignment="1"/>
    <xf numFmtId="0" fontId="7" fillId="0" borderId="0" xfId="1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right" vertical="top"/>
    </xf>
    <xf numFmtId="0" fontId="0" fillId="0" borderId="0" xfId="0" applyFill="1"/>
    <xf numFmtId="0" fontId="7" fillId="2" borderId="3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horizontal="center" vertical="center" wrapText="1"/>
    </xf>
    <xf numFmtId="1" fontId="9" fillId="3" borderId="3" xfId="2" applyNumberFormat="1" applyFont="1" applyFill="1" applyBorder="1" applyAlignment="1">
      <alignment horizontal="left" vertical="top"/>
    </xf>
    <xf numFmtId="0" fontId="9" fillId="3" borderId="3" xfId="2" applyNumberFormat="1" applyFont="1" applyFill="1" applyBorder="1" applyAlignment="1">
      <alignment vertical="top" wrapText="1"/>
    </xf>
    <xf numFmtId="0" fontId="9" fillId="3" borderId="3" xfId="2" applyNumberFormat="1" applyFont="1" applyFill="1" applyBorder="1" applyAlignment="1">
      <alignment horizontal="right" vertical="top" wrapText="1"/>
    </xf>
    <xf numFmtId="1" fontId="10" fillId="0" borderId="3" xfId="2" applyNumberFormat="1" applyFont="1" applyBorder="1" applyAlignment="1">
      <alignment horizontal="left" vertical="top"/>
    </xf>
    <xf numFmtId="0" fontId="10" fillId="0" borderId="3" xfId="2" applyNumberFormat="1" applyFont="1" applyBorder="1" applyAlignment="1">
      <alignment vertical="top" indent="4"/>
    </xf>
    <xf numFmtId="0" fontId="10" fillId="0" borderId="3" xfId="2" applyNumberFormat="1" applyFont="1" applyBorder="1" applyAlignment="1">
      <alignment vertical="top" indent="6"/>
    </xf>
    <xf numFmtId="0" fontId="9" fillId="3" borderId="3" xfId="2" applyNumberFormat="1" applyFont="1" applyFill="1" applyBorder="1" applyAlignment="1">
      <alignment vertical="top"/>
    </xf>
    <xf numFmtId="41" fontId="10" fillId="0" borderId="3" xfId="2" applyNumberFormat="1" applyFont="1" applyBorder="1" applyAlignment="1">
      <alignment horizontal="right" vertical="top" wrapText="1"/>
    </xf>
    <xf numFmtId="41" fontId="12" fillId="0" borderId="3" xfId="2" applyNumberFormat="1" applyFont="1" applyBorder="1" applyAlignment="1">
      <alignment horizontal="right" vertical="top" wrapText="1"/>
    </xf>
    <xf numFmtId="41" fontId="9" fillId="3" borderId="3" xfId="2" applyNumberFormat="1" applyFont="1" applyFill="1" applyBorder="1" applyAlignment="1">
      <alignment horizontal="right" vertical="top" wrapText="1"/>
    </xf>
    <xf numFmtId="0" fontId="15" fillId="0" borderId="0" xfId="0" applyFont="1"/>
    <xf numFmtId="0" fontId="16" fillId="0" borderId="0" xfId="0" applyFont="1" applyFill="1" applyBorder="1"/>
    <xf numFmtId="41" fontId="5" fillId="0" borderId="0" xfId="0" applyNumberFormat="1" applyFont="1"/>
    <xf numFmtId="41" fontId="4" fillId="0" borderId="1" xfId="0" applyNumberFormat="1" applyFont="1" applyBorder="1"/>
    <xf numFmtId="41" fontId="4" fillId="0" borderId="0" xfId="0" applyNumberFormat="1" applyFont="1"/>
    <xf numFmtId="0" fontId="18" fillId="0" borderId="0" xfId="0" applyFont="1"/>
    <xf numFmtId="0" fontId="20" fillId="0" borderId="0" xfId="4" applyFont="1" applyAlignment="1"/>
    <xf numFmtId="0" fontId="21" fillId="0" borderId="0" xfId="4" applyFont="1" applyAlignment="1"/>
    <xf numFmtId="41" fontId="21" fillId="0" borderId="0" xfId="4" applyNumberFormat="1" applyFont="1" applyAlignment="1"/>
    <xf numFmtId="0" fontId="20" fillId="2" borderId="3" xfId="4" applyNumberFormat="1" applyFont="1" applyFill="1" applyBorder="1" applyAlignment="1">
      <alignment horizontal="center" vertical="center"/>
    </xf>
    <xf numFmtId="0" fontId="20" fillId="0" borderId="3" xfId="4" applyNumberFormat="1" applyFont="1" applyBorder="1" applyAlignment="1">
      <alignment vertical="top"/>
    </xf>
    <xf numFmtId="41" fontId="20" fillId="0" borderId="3" xfId="4" applyNumberFormat="1" applyFont="1" applyBorder="1" applyAlignment="1">
      <alignment horizontal="right" vertical="top"/>
    </xf>
    <xf numFmtId="0" fontId="21" fillId="0" borderId="3" xfId="4" applyNumberFormat="1" applyFont="1" applyBorder="1" applyAlignment="1">
      <alignment vertical="top"/>
    </xf>
    <xf numFmtId="41" fontId="21" fillId="0" borderId="3" xfId="4" applyNumberFormat="1" applyFont="1" applyBorder="1" applyAlignment="1">
      <alignment horizontal="right" vertical="top"/>
    </xf>
    <xf numFmtId="41" fontId="22" fillId="0" borderId="3" xfId="4" applyNumberFormat="1" applyFont="1" applyBorder="1" applyAlignment="1">
      <alignment horizontal="right" vertical="top"/>
    </xf>
    <xf numFmtId="41" fontId="23" fillId="0" borderId="3" xfId="4" applyNumberFormat="1" applyFont="1" applyBorder="1" applyAlignment="1">
      <alignment horizontal="right" vertical="top"/>
    </xf>
    <xf numFmtId="0" fontId="21" fillId="2" borderId="3" xfId="4" applyNumberFormat="1" applyFont="1" applyFill="1" applyBorder="1" applyAlignment="1">
      <alignment vertical="top"/>
    </xf>
    <xf numFmtId="41" fontId="21" fillId="2" borderId="3" xfId="4" applyNumberFormat="1" applyFont="1" applyFill="1" applyBorder="1" applyAlignment="1">
      <alignment horizontal="right" vertical="top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24" fillId="0" borderId="0" xfId="0" applyNumberFormat="1" applyFont="1" applyAlignment="1">
      <alignment horizontal="center" vertical="top" wrapText="1"/>
    </xf>
    <xf numFmtId="0" fontId="24" fillId="0" borderId="0" xfId="0" applyNumberFormat="1" applyFont="1" applyAlignment="1">
      <alignment horizontal="center" vertical="center"/>
    </xf>
    <xf numFmtId="0" fontId="25" fillId="0" borderId="0" xfId="0" applyFont="1"/>
    <xf numFmtId="41" fontId="19" fillId="0" borderId="0" xfId="0" applyNumberFormat="1" applyFont="1"/>
    <xf numFmtId="41" fontId="5" fillId="4" borderId="0" xfId="0" applyNumberFormat="1" applyFont="1" applyFill="1"/>
    <xf numFmtId="0" fontId="21" fillId="4" borderId="3" xfId="4" applyNumberFormat="1" applyFont="1" applyFill="1" applyBorder="1" applyAlignment="1">
      <alignment vertical="top"/>
    </xf>
    <xf numFmtId="41" fontId="4" fillId="0" borderId="0" xfId="0" applyNumberFormat="1" applyFont="1" applyBorder="1"/>
    <xf numFmtId="0" fontId="5" fillId="0" borderId="0" xfId="0" applyFont="1" applyBorder="1"/>
    <xf numFmtId="0" fontId="24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/>
    <xf numFmtId="0" fontId="20" fillId="0" borderId="0" xfId="5" applyFont="1" applyAlignment="1"/>
    <xf numFmtId="0" fontId="20" fillId="2" borderId="3" xfId="5" applyNumberFormat="1" applyFont="1" applyFill="1" applyBorder="1" applyAlignment="1">
      <alignment horizontal="center" vertical="center"/>
    </xf>
    <xf numFmtId="0" fontId="21" fillId="0" borderId="0" xfId="5" applyFont="1" applyAlignment="1"/>
    <xf numFmtId="0" fontId="21" fillId="0" borderId="3" xfId="5" applyNumberFormat="1" applyFont="1" applyBorder="1" applyAlignment="1">
      <alignment vertical="top"/>
    </xf>
    <xf numFmtId="41" fontId="21" fillId="0" borderId="3" xfId="5" applyNumberFormat="1" applyFont="1" applyBorder="1" applyAlignment="1">
      <alignment horizontal="right" vertical="top"/>
    </xf>
    <xf numFmtId="41" fontId="22" fillId="0" borderId="3" xfId="5" applyNumberFormat="1" applyFont="1" applyBorder="1" applyAlignment="1">
      <alignment horizontal="right" vertical="top"/>
    </xf>
    <xf numFmtId="0" fontId="21" fillId="2" borderId="3" xfId="5" applyNumberFormat="1" applyFont="1" applyFill="1" applyBorder="1" applyAlignment="1">
      <alignment vertical="top"/>
    </xf>
    <xf numFmtId="41" fontId="21" fillId="2" borderId="3" xfId="5" applyNumberFormat="1" applyFont="1" applyFill="1" applyBorder="1" applyAlignment="1">
      <alignment horizontal="right" vertical="top"/>
    </xf>
    <xf numFmtId="0" fontId="20" fillId="2" borderId="5" xfId="5" applyNumberFormat="1" applyFont="1" applyFill="1" applyBorder="1" applyAlignment="1">
      <alignment horizontal="center" vertical="center"/>
    </xf>
    <xf numFmtId="41" fontId="21" fillId="0" borderId="5" xfId="5" applyNumberFormat="1" applyFont="1" applyBorder="1" applyAlignment="1">
      <alignment horizontal="right" vertical="top"/>
    </xf>
    <xf numFmtId="41" fontId="22" fillId="0" borderId="5" xfId="5" applyNumberFormat="1" applyFont="1" applyBorder="1" applyAlignment="1">
      <alignment horizontal="right" vertical="top"/>
    </xf>
    <xf numFmtId="41" fontId="21" fillId="2" borderId="5" xfId="5" applyNumberFormat="1" applyFont="1" applyFill="1" applyBorder="1" applyAlignment="1">
      <alignment horizontal="right" vertical="top"/>
    </xf>
    <xf numFmtId="0" fontId="21" fillId="0" borderId="0" xfId="5" applyFont="1" applyFill="1" applyBorder="1" applyAlignment="1"/>
    <xf numFmtId="0" fontId="20" fillId="0" borderId="0" xfId="5" applyNumberFormat="1" applyFont="1" applyFill="1" applyBorder="1" applyAlignment="1">
      <alignment horizontal="center" vertical="center"/>
    </xf>
    <xf numFmtId="41" fontId="21" fillId="0" borderId="0" xfId="5" applyNumberFormat="1" applyFont="1" applyFill="1" applyBorder="1" applyAlignment="1">
      <alignment horizontal="right" vertical="top"/>
    </xf>
    <xf numFmtId="0" fontId="26" fillId="0" borderId="0" xfId="6" applyFont="1" applyAlignment="1"/>
    <xf numFmtId="0" fontId="6" fillId="0" borderId="0" xfId="6" applyAlignment="1"/>
    <xf numFmtId="0" fontId="27" fillId="0" borderId="0" xfId="6" applyFont="1" applyAlignment="1"/>
    <xf numFmtId="0" fontId="28" fillId="5" borderId="3" xfId="6" applyNumberFormat="1" applyFont="1" applyFill="1" applyBorder="1" applyAlignment="1">
      <alignment vertical="top"/>
    </xf>
    <xf numFmtId="0" fontId="29" fillId="0" borderId="6" xfId="6" applyNumberFormat="1" applyFont="1" applyBorder="1" applyAlignment="1">
      <alignment vertical="top"/>
    </xf>
    <xf numFmtId="41" fontId="29" fillId="0" borderId="6" xfId="6" applyNumberFormat="1" applyFont="1" applyBorder="1" applyAlignment="1">
      <alignment horizontal="right" vertical="top"/>
    </xf>
    <xf numFmtId="0" fontId="30" fillId="0" borderId="6" xfId="6" applyNumberFormat="1" applyFont="1" applyBorder="1" applyAlignment="1">
      <alignment vertical="top"/>
    </xf>
    <xf numFmtId="41" fontId="30" fillId="0" borderId="6" xfId="6" applyNumberFormat="1" applyFont="1" applyBorder="1" applyAlignment="1">
      <alignment horizontal="right" vertical="top"/>
    </xf>
    <xf numFmtId="41" fontId="31" fillId="0" borderId="6" xfId="6" applyNumberFormat="1" applyFont="1" applyBorder="1" applyAlignment="1">
      <alignment horizontal="right" vertical="top"/>
    </xf>
    <xf numFmtId="41" fontId="28" fillId="5" borderId="3" xfId="6" applyNumberFormat="1" applyFont="1" applyFill="1" applyBorder="1" applyAlignment="1">
      <alignment horizontal="right" vertical="top"/>
    </xf>
    <xf numFmtId="0" fontId="28" fillId="5" borderId="7" xfId="6" applyNumberFormat="1" applyFont="1" applyFill="1" applyBorder="1" applyAlignment="1">
      <alignment vertical="top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/>
    <xf numFmtId="41" fontId="5" fillId="0" borderId="17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19" xfId="0" applyFont="1" applyBorder="1" applyAlignment="1"/>
    <xf numFmtId="0" fontId="5" fillId="0" borderId="20" xfId="0" applyFont="1" applyBorder="1" applyAlignment="1"/>
    <xf numFmtId="41" fontId="5" fillId="0" borderId="20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/>
    <xf numFmtId="41" fontId="4" fillId="0" borderId="0" xfId="0" applyNumberFormat="1" applyFont="1" applyFill="1"/>
    <xf numFmtId="41" fontId="19" fillId="0" borderId="0" xfId="0" applyNumberFormat="1" applyFont="1" applyFill="1"/>
    <xf numFmtId="0" fontId="19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41" fontId="51" fillId="0" borderId="0" xfId="0" applyNumberFormat="1" applyFont="1"/>
    <xf numFmtId="0" fontId="52" fillId="0" borderId="0" xfId="0" applyFont="1"/>
    <xf numFmtId="0" fontId="53" fillId="0" borderId="0" xfId="0" applyFont="1"/>
    <xf numFmtId="41" fontId="53" fillId="0" borderId="0" xfId="0" applyNumberFormat="1" applyFont="1"/>
    <xf numFmtId="0" fontId="54" fillId="0" borderId="0" xfId="0" applyFont="1"/>
    <xf numFmtId="41" fontId="52" fillId="0" borderId="1" xfId="0" applyNumberFormat="1" applyFont="1" applyBorder="1"/>
    <xf numFmtId="41" fontId="5" fillId="0" borderId="1" xfId="0" applyNumberFormat="1" applyFont="1" applyBorder="1"/>
    <xf numFmtId="0" fontId="51" fillId="0" borderId="1" xfId="0" applyFont="1" applyBorder="1"/>
    <xf numFmtId="41" fontId="51" fillId="0" borderId="1" xfId="0" applyNumberFormat="1" applyFont="1" applyBorder="1"/>
    <xf numFmtId="41" fontId="50" fillId="0" borderId="1" xfId="0" applyNumberFormat="1" applyFont="1" applyBorder="1"/>
    <xf numFmtId="41" fontId="51" fillId="0" borderId="0" xfId="0" applyNumberFormat="1" applyFont="1" applyBorder="1"/>
    <xf numFmtId="41" fontId="50" fillId="0" borderId="0" xfId="0" applyNumberFormat="1" applyFont="1"/>
    <xf numFmtId="0" fontId="57" fillId="0" borderId="0" xfId="0" applyFont="1"/>
    <xf numFmtId="41" fontId="58" fillId="0" borderId="0" xfId="0" applyNumberFormat="1" applyFont="1"/>
    <xf numFmtId="0" fontId="0" fillId="0" borderId="0" xfId="0" applyAlignment="1"/>
    <xf numFmtId="0" fontId="7" fillId="2" borderId="3" xfId="10" applyNumberFormat="1" applyFont="1" applyFill="1" applyBorder="1" applyAlignment="1">
      <alignment vertical="center"/>
    </xf>
    <xf numFmtId="1" fontId="59" fillId="37" borderId="3" xfId="10" applyNumberFormat="1" applyFont="1" applyFill="1" applyBorder="1" applyAlignment="1">
      <alignment horizontal="left" vertical="top"/>
    </xf>
    <xf numFmtId="0" fontId="9" fillId="0" borderId="3" xfId="10" applyNumberFormat="1" applyFont="1" applyBorder="1" applyAlignment="1">
      <alignment vertical="top"/>
    </xf>
    <xf numFmtId="41" fontId="59" fillId="37" borderId="3" xfId="10" applyNumberFormat="1" applyFont="1" applyFill="1" applyBorder="1" applyAlignment="1">
      <alignment horizontal="right" vertical="top"/>
    </xf>
    <xf numFmtId="41" fontId="9" fillId="0" borderId="3" xfId="10" applyNumberFormat="1" applyFont="1" applyBorder="1" applyAlignment="1">
      <alignment horizontal="right" vertical="top"/>
    </xf>
    <xf numFmtId="41" fontId="59" fillId="37" borderId="5" xfId="10" applyNumberFormat="1" applyFont="1" applyFill="1" applyBorder="1" applyAlignment="1">
      <alignment horizontal="right" vertical="top"/>
    </xf>
    <xf numFmtId="41" fontId="9" fillId="0" borderId="5" xfId="1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 applyFill="1" applyBorder="1"/>
    <xf numFmtId="1" fontId="60" fillId="37" borderId="3" xfId="10" applyNumberFormat="1" applyFont="1" applyFill="1" applyBorder="1" applyAlignment="1">
      <alignment horizontal="left" vertical="top"/>
    </xf>
    <xf numFmtId="41" fontId="60" fillId="37" borderId="3" xfId="10" applyNumberFormat="1" applyFont="1" applyFill="1" applyBorder="1" applyAlignment="1">
      <alignment horizontal="right" vertical="top"/>
    </xf>
    <xf numFmtId="41" fontId="0" fillId="0" borderId="0" xfId="0" applyNumberFormat="1" applyFill="1" applyBorder="1"/>
    <xf numFmtId="14" fontId="3" fillId="0" borderId="0" xfId="0" applyNumberFormat="1" applyFont="1" applyFill="1" applyBorder="1"/>
    <xf numFmtId="41" fontId="60" fillId="37" borderId="5" xfId="10" applyNumberFormat="1" applyFont="1" applyFill="1" applyBorder="1" applyAlignment="1">
      <alignment horizontal="right" vertical="top"/>
    </xf>
    <xf numFmtId="4" fontId="60" fillId="0" borderId="0" xfId="10" applyNumberFormat="1" applyFont="1" applyFill="1" applyBorder="1" applyAlignment="1">
      <alignment horizontal="right" vertical="top"/>
    </xf>
    <xf numFmtId="0" fontId="9" fillId="2" borderId="3" xfId="10" applyNumberFormat="1" applyFont="1" applyFill="1" applyBorder="1" applyAlignment="1">
      <alignment vertical="center"/>
    </xf>
    <xf numFmtId="1" fontId="7" fillId="37" borderId="3" xfId="10" applyNumberFormat="1" applyFont="1" applyFill="1" applyBorder="1" applyAlignment="1">
      <alignment horizontal="left" vertical="top"/>
    </xf>
    <xf numFmtId="41" fontId="7" fillId="37" borderId="3" xfId="10" applyNumberFormat="1" applyFont="1" applyFill="1" applyBorder="1" applyAlignment="1">
      <alignment horizontal="right" vertical="top"/>
    </xf>
    <xf numFmtId="4" fontId="7" fillId="0" borderId="7" xfId="10" applyNumberFormat="1" applyFont="1" applyFill="1" applyBorder="1" applyAlignment="1">
      <alignment horizontal="right" vertical="top"/>
    </xf>
    <xf numFmtId="0" fontId="25" fillId="0" borderId="38" xfId="0" applyFont="1" applyBorder="1"/>
    <xf numFmtId="0" fontId="5" fillId="0" borderId="38" xfId="0" applyFont="1" applyBorder="1"/>
    <xf numFmtId="41" fontId="19" fillId="0" borderId="38" xfId="0" applyNumberFormat="1" applyFont="1" applyFill="1" applyBorder="1"/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8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2" fillId="0" borderId="39" xfId="0" applyFont="1" applyBorder="1" applyAlignment="1">
      <alignment horizontal="center" wrapText="1"/>
    </xf>
    <xf numFmtId="0" fontId="61" fillId="0" borderId="0" xfId="0" applyFont="1"/>
    <xf numFmtId="41" fontId="61" fillId="0" borderId="0" xfId="0" applyNumberFormat="1" applyFont="1"/>
    <xf numFmtId="41" fontId="62" fillId="0" borderId="0" xfId="1" applyNumberFormat="1" applyFont="1" applyFill="1" applyBorder="1" applyAlignment="1">
      <alignment horizontal="right" vertical="top"/>
    </xf>
    <xf numFmtId="0" fontId="24" fillId="0" borderId="0" xfId="0" applyNumberFormat="1" applyFont="1" applyAlignment="1">
      <alignment horizontal="center" vertical="top"/>
    </xf>
    <xf numFmtId="41" fontId="0" fillId="0" borderId="1" xfId="0" applyNumberFormat="1" applyBorder="1"/>
    <xf numFmtId="41" fontId="3" fillId="0" borderId="1" xfId="0" applyNumberFormat="1" applyFont="1" applyBorder="1"/>
    <xf numFmtId="0" fontId="24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9" fillId="2" borderId="3" xfId="12" applyNumberFormat="1" applyFont="1" applyFill="1" applyBorder="1" applyAlignment="1">
      <alignment vertical="center"/>
    </xf>
    <xf numFmtId="1" fontId="7" fillId="37" borderId="3" xfId="12" applyNumberFormat="1" applyFont="1" applyFill="1" applyBorder="1" applyAlignment="1">
      <alignment horizontal="left" vertical="top"/>
    </xf>
    <xf numFmtId="0" fontId="9" fillId="0" borderId="3" xfId="12" applyNumberFormat="1" applyFont="1" applyBorder="1" applyAlignment="1">
      <alignment vertical="top"/>
    </xf>
    <xf numFmtId="41" fontId="7" fillId="37" borderId="3" xfId="12" applyNumberFormat="1" applyFont="1" applyFill="1" applyBorder="1" applyAlignment="1">
      <alignment horizontal="right" vertical="top"/>
    </xf>
    <xf numFmtId="41" fontId="9" fillId="0" borderId="3" xfId="12" applyNumberFormat="1" applyFont="1" applyBorder="1" applyAlignment="1">
      <alignment horizontal="right" vertical="top"/>
    </xf>
    <xf numFmtId="0" fontId="10" fillId="0" borderId="3" xfId="12" applyNumberFormat="1" applyFont="1" applyBorder="1" applyAlignment="1">
      <alignment vertical="top"/>
    </xf>
    <xf numFmtId="41" fontId="10" fillId="0" borderId="3" xfId="12" applyNumberFormat="1" applyFont="1" applyBorder="1" applyAlignment="1">
      <alignment horizontal="right" vertical="top"/>
    </xf>
    <xf numFmtId="41" fontId="3" fillId="0" borderId="0" xfId="0" applyNumberFormat="1" applyFont="1" applyBorder="1"/>
    <xf numFmtId="0" fontId="7" fillId="2" borderId="3" xfId="12" applyNumberFormat="1" applyFont="1" applyFill="1" applyBorder="1" applyAlignment="1">
      <alignment vertical="center"/>
    </xf>
    <xf numFmtId="0" fontId="6" fillId="0" borderId="0" xfId="12" applyAlignment="1"/>
    <xf numFmtId="1" fontId="60" fillId="37" borderId="3" xfId="12" applyNumberFormat="1" applyFont="1" applyFill="1" applyBorder="1" applyAlignment="1">
      <alignment horizontal="left" vertical="top"/>
    </xf>
    <xf numFmtId="41" fontId="60" fillId="37" borderId="3" xfId="12" applyNumberFormat="1" applyFont="1" applyFill="1" applyBorder="1" applyAlignment="1">
      <alignment horizontal="right" vertical="top"/>
    </xf>
    <xf numFmtId="41" fontId="13" fillId="0" borderId="3" xfId="12" applyNumberFormat="1" applyFont="1" applyBorder="1" applyAlignment="1">
      <alignment horizontal="right" vertical="top"/>
    </xf>
    <xf numFmtId="41" fontId="9" fillId="4" borderId="3" xfId="12" applyNumberFormat="1" applyFont="1" applyFill="1" applyBorder="1" applyAlignment="1">
      <alignment horizontal="right" vertical="top"/>
    </xf>
    <xf numFmtId="0" fontId="28" fillId="5" borderId="3" xfId="12" applyNumberFormat="1" applyFont="1" applyFill="1" applyBorder="1" applyAlignment="1">
      <alignment vertical="top"/>
    </xf>
    <xf numFmtId="0" fontId="26" fillId="0" borderId="0" xfId="12" applyFont="1" applyAlignment="1"/>
    <xf numFmtId="0" fontId="27" fillId="0" borderId="0" xfId="12" applyFont="1" applyAlignment="1"/>
    <xf numFmtId="0" fontId="28" fillId="5" borderId="6" xfId="12" applyNumberFormat="1" applyFont="1" applyFill="1" applyBorder="1" applyAlignment="1">
      <alignment vertical="top"/>
    </xf>
    <xf numFmtId="0" fontId="30" fillId="0" borderId="6" xfId="12" applyNumberFormat="1" applyFont="1" applyBorder="1" applyAlignment="1">
      <alignment vertical="top"/>
    </xf>
    <xf numFmtId="4" fontId="28" fillId="5" borderId="40" xfId="12" applyNumberFormat="1" applyFont="1" applyFill="1" applyBorder="1" applyAlignment="1">
      <alignment horizontal="right" vertical="top"/>
    </xf>
    <xf numFmtId="41" fontId="28" fillId="5" borderId="6" xfId="12" applyNumberFormat="1" applyFont="1" applyFill="1" applyBorder="1" applyAlignment="1">
      <alignment horizontal="right" vertical="top"/>
    </xf>
    <xf numFmtId="41" fontId="30" fillId="0" borderId="6" xfId="12" applyNumberFormat="1" applyFont="1" applyBorder="1" applyAlignment="1">
      <alignment horizontal="right" vertical="top"/>
    </xf>
    <xf numFmtId="41" fontId="31" fillId="0" borderId="6" xfId="12" applyNumberFormat="1" applyFont="1" applyBorder="1" applyAlignment="1">
      <alignment horizontal="right" vertical="top"/>
    </xf>
    <xf numFmtId="41" fontId="28" fillId="5" borderId="3" xfId="12" applyNumberFormat="1" applyFont="1" applyFill="1" applyBorder="1" applyAlignment="1">
      <alignment horizontal="right" vertical="top"/>
    </xf>
    <xf numFmtId="41" fontId="30" fillId="4" borderId="6" xfId="12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24" fillId="0" borderId="0" xfId="0" applyNumberFormat="1" applyFont="1" applyAlignment="1">
      <alignment horizontal="left" vertical="top"/>
    </xf>
    <xf numFmtId="0" fontId="5" fillId="0" borderId="0" xfId="0" applyFont="1" applyBorder="1" applyAlignment="1"/>
    <xf numFmtId="0" fontId="10" fillId="4" borderId="3" xfId="1" applyNumberFormat="1" applyFont="1" applyFill="1" applyBorder="1" applyAlignment="1">
      <alignment vertical="top"/>
    </xf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0" fontId="4" fillId="0" borderId="1" xfId="0" applyFont="1" applyBorder="1"/>
    <xf numFmtId="0" fontId="4" fillId="0" borderId="39" xfId="0" applyFont="1" applyBorder="1" applyAlignment="1">
      <alignment horizontal="center" wrapText="1"/>
    </xf>
    <xf numFmtId="0" fontId="19" fillId="0" borderId="0" xfId="0" applyFont="1"/>
    <xf numFmtId="4" fontId="5" fillId="0" borderId="0" xfId="0" applyNumberFormat="1" applyFont="1"/>
    <xf numFmtId="0" fontId="5" fillId="0" borderId="0" xfId="0" applyFont="1" applyFill="1"/>
    <xf numFmtId="0" fontId="65" fillId="0" borderId="0" xfId="0" applyFont="1"/>
    <xf numFmtId="0" fontId="63" fillId="0" borderId="0" xfId="0" applyFont="1"/>
    <xf numFmtId="0" fontId="65" fillId="0" borderId="0" xfId="0" applyFont="1" applyAlignment="1">
      <alignment wrapText="1"/>
    </xf>
    <xf numFmtId="41" fontId="65" fillId="0" borderId="0" xfId="0" applyNumberFormat="1" applyFont="1"/>
    <xf numFmtId="41" fontId="63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0" fontId="10" fillId="0" borderId="0" xfId="13" applyNumberFormat="1" applyFont="1" applyBorder="1" applyAlignment="1">
      <alignment vertical="top"/>
    </xf>
    <xf numFmtId="41" fontId="10" fillId="0" borderId="0" xfId="13" applyNumberFormat="1" applyFont="1" applyBorder="1" applyAlignment="1">
      <alignment horizontal="right" vertical="top"/>
    </xf>
    <xf numFmtId="0" fontId="11" fillId="0" borderId="0" xfId="13" applyNumberFormat="1" applyFont="1" applyBorder="1" applyAlignment="1">
      <alignment vertical="top"/>
    </xf>
    <xf numFmtId="41" fontId="11" fillId="0" borderId="0" xfId="13" applyNumberFormat="1" applyFont="1" applyBorder="1" applyAlignment="1">
      <alignment horizontal="right" vertical="top"/>
    </xf>
    <xf numFmtId="0" fontId="67" fillId="0" borderId="0" xfId="0" applyFont="1"/>
    <xf numFmtId="0" fontId="68" fillId="13" borderId="45" xfId="8" applyNumberFormat="1" applyFont="1" applyBorder="1" applyAlignment="1">
      <alignment horizontal="center" vertical="center" wrapText="1"/>
    </xf>
    <xf numFmtId="0" fontId="68" fillId="13" borderId="45" xfId="8" applyFont="1" applyBorder="1" applyAlignment="1">
      <alignment horizontal="center" vertical="center" wrapText="1"/>
    </xf>
    <xf numFmtId="0" fontId="68" fillId="13" borderId="45" xfId="8" applyFont="1" applyBorder="1" applyAlignment="1">
      <alignment horizontal="center" vertical="center"/>
    </xf>
    <xf numFmtId="41" fontId="68" fillId="13" borderId="45" xfId="8" applyNumberFormat="1" applyFont="1" applyBorder="1" applyAlignment="1">
      <alignment horizontal="center" vertical="center" wrapText="1"/>
    </xf>
    <xf numFmtId="41" fontId="0" fillId="0" borderId="0" xfId="0" applyNumberFormat="1" applyFont="1"/>
    <xf numFmtId="0" fontId="21" fillId="0" borderId="0" xfId="13" applyNumberFormat="1" applyFont="1" applyBorder="1" applyAlignment="1">
      <alignment vertical="top"/>
    </xf>
    <xf numFmtId="41" fontId="21" fillId="0" borderId="0" xfId="13" applyNumberFormat="1" applyFont="1" applyBorder="1" applyAlignment="1">
      <alignment horizontal="right" vertical="top"/>
    </xf>
    <xf numFmtId="0" fontId="64" fillId="0" borderId="0" xfId="13" applyNumberFormat="1" applyFont="1" applyBorder="1" applyAlignment="1">
      <alignment vertical="top"/>
    </xf>
    <xf numFmtId="41" fontId="64" fillId="0" borderId="0" xfId="13" applyNumberFormat="1" applyFont="1" applyBorder="1" applyAlignment="1">
      <alignment horizontal="right" vertical="top"/>
    </xf>
    <xf numFmtId="41" fontId="25" fillId="0" borderId="0" xfId="0" applyNumberFormat="1" applyFont="1"/>
    <xf numFmtId="41" fontId="5" fillId="0" borderId="0" xfId="0" applyNumberFormat="1" applyFont="1" applyBorder="1" applyAlignment="1">
      <alignment horizontal="right"/>
    </xf>
    <xf numFmtId="0" fontId="21" fillId="0" borderId="0" xfId="5" applyNumberFormat="1" applyFont="1" applyBorder="1" applyAlignment="1">
      <alignment vertical="top"/>
    </xf>
    <xf numFmtId="41" fontId="21" fillId="0" borderId="0" xfId="5" applyNumberFormat="1" applyFont="1" applyBorder="1" applyAlignment="1">
      <alignment horizontal="right" vertical="top"/>
    </xf>
    <xf numFmtId="0" fontId="30" fillId="0" borderId="46" xfId="6" applyNumberFormat="1" applyFont="1" applyBorder="1" applyAlignment="1">
      <alignment vertical="top"/>
    </xf>
    <xf numFmtId="41" fontId="30" fillId="0" borderId="46" xfId="6" applyNumberFormat="1" applyFont="1" applyBorder="1" applyAlignment="1">
      <alignment horizontal="right" vertical="top"/>
    </xf>
    <xf numFmtId="0" fontId="24" fillId="0" borderId="0" xfId="0" applyNumberFormat="1" applyFont="1" applyBorder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43" fontId="65" fillId="0" borderId="0" xfId="0" applyNumberFormat="1" applyFont="1"/>
    <xf numFmtId="43" fontId="5" fillId="0" borderId="0" xfId="0" applyNumberFormat="1" applyFont="1"/>
    <xf numFmtId="0" fontId="69" fillId="0" borderId="0" xfId="0" applyFont="1"/>
    <xf numFmtId="0" fontId="9" fillId="2" borderId="3" xfId="13" applyNumberFormat="1" applyFont="1" applyFill="1" applyBorder="1" applyAlignment="1">
      <alignment vertical="center"/>
    </xf>
    <xf numFmtId="1" fontId="70" fillId="37" borderId="3" xfId="13" applyNumberFormat="1" applyFont="1" applyFill="1" applyBorder="1" applyAlignment="1">
      <alignment horizontal="left" vertical="top"/>
    </xf>
    <xf numFmtId="41" fontId="70" fillId="37" borderId="3" xfId="13" applyNumberFormat="1" applyFont="1" applyFill="1" applyBorder="1" applyAlignment="1">
      <alignment horizontal="right" vertical="top"/>
    </xf>
    <xf numFmtId="1" fontId="9" fillId="37" borderId="3" xfId="13" applyNumberFormat="1" applyFont="1" applyFill="1" applyBorder="1" applyAlignment="1">
      <alignment horizontal="left" vertical="top"/>
    </xf>
    <xf numFmtId="41" fontId="9" fillId="37" borderId="3" xfId="13" applyNumberFormat="1" applyFont="1" applyFill="1" applyBorder="1" applyAlignment="1">
      <alignment horizontal="right" vertical="top"/>
    </xf>
    <xf numFmtId="0" fontId="7" fillId="2" borderId="3" xfId="13" applyNumberFormat="1" applyFont="1" applyFill="1" applyBorder="1" applyAlignment="1">
      <alignment vertical="center"/>
    </xf>
    <xf numFmtId="1" fontId="11" fillId="37" borderId="3" xfId="13" applyNumberFormat="1" applyFont="1" applyFill="1" applyBorder="1" applyAlignment="1">
      <alignment horizontal="left" vertical="top"/>
    </xf>
    <xf numFmtId="41" fontId="11" fillId="37" borderId="3" xfId="13" applyNumberFormat="1" applyFont="1" applyFill="1" applyBorder="1" applyAlignment="1">
      <alignment horizontal="right" vertical="top"/>
    </xf>
    <xf numFmtId="1" fontId="10" fillId="37" borderId="3" xfId="13" applyNumberFormat="1" applyFont="1" applyFill="1" applyBorder="1" applyAlignment="1">
      <alignment horizontal="left" vertical="top"/>
    </xf>
    <xf numFmtId="41" fontId="10" fillId="37" borderId="3" xfId="13" applyNumberFormat="1" applyFont="1" applyFill="1" applyBorder="1" applyAlignment="1">
      <alignment horizontal="right" vertical="top"/>
    </xf>
    <xf numFmtId="41" fontId="71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1" fontId="3" fillId="0" borderId="0" xfId="0" applyNumberFormat="1" applyFont="1"/>
    <xf numFmtId="0" fontId="3" fillId="0" borderId="39" xfId="0" applyFont="1" applyBorder="1" applyAlignment="1">
      <alignment wrapText="1"/>
    </xf>
    <xf numFmtId="0" fontId="3" fillId="0" borderId="39" xfId="0" applyFont="1" applyBorder="1" applyAlignment="1">
      <alignment horizontal="center" wrapText="1"/>
    </xf>
    <xf numFmtId="0" fontId="20" fillId="2" borderId="3" xfId="11" applyNumberFormat="1" applyFont="1" applyFill="1" applyBorder="1" applyAlignment="1">
      <alignment vertical="center"/>
    </xf>
    <xf numFmtId="0" fontId="20" fillId="2" borderId="3" xfId="14" applyNumberFormat="1" applyFont="1" applyFill="1" applyBorder="1" applyAlignment="1">
      <alignment vertical="center"/>
    </xf>
    <xf numFmtId="1" fontId="21" fillId="37" borderId="3" xfId="14" applyNumberFormat="1" applyFont="1" applyFill="1" applyBorder="1" applyAlignment="1">
      <alignment horizontal="left" vertical="top"/>
    </xf>
    <xf numFmtId="41" fontId="21" fillId="37" borderId="3" xfId="14" applyNumberFormat="1" applyFont="1" applyFill="1" applyBorder="1" applyAlignment="1">
      <alignment horizontal="right" vertical="top"/>
    </xf>
    <xf numFmtId="1" fontId="21" fillId="3" borderId="3" xfId="11" applyNumberFormat="1" applyFont="1" applyFill="1" applyBorder="1" applyAlignment="1">
      <alignment horizontal="left" vertical="top"/>
    </xf>
    <xf numFmtId="0" fontId="21" fillId="3" borderId="3" xfId="11" applyNumberFormat="1" applyFont="1" applyFill="1" applyBorder="1" applyAlignment="1">
      <alignment vertical="top"/>
    </xf>
    <xf numFmtId="41" fontId="21" fillId="3" borderId="3" xfId="11" applyNumberFormat="1" applyFont="1" applyFill="1" applyBorder="1" applyAlignment="1">
      <alignment horizontal="right" vertical="top"/>
    </xf>
    <xf numFmtId="0" fontId="21" fillId="37" borderId="3" xfId="11" applyNumberFormat="1" applyFont="1" applyFill="1" applyBorder="1" applyAlignment="1">
      <alignment vertical="top"/>
    </xf>
    <xf numFmtId="41" fontId="21" fillId="37" borderId="3" xfId="11" applyNumberFormat="1" applyFont="1" applyFill="1" applyBorder="1" applyAlignment="1">
      <alignment horizontal="right" vertical="top"/>
    </xf>
    <xf numFmtId="0" fontId="21" fillId="0" borderId="3" xfId="11" applyNumberFormat="1" applyFont="1" applyBorder="1" applyAlignment="1">
      <alignment vertical="top"/>
    </xf>
    <xf numFmtId="1" fontId="21" fillId="0" borderId="3" xfId="11" applyNumberFormat="1" applyFont="1" applyBorder="1" applyAlignment="1">
      <alignment horizontal="left" vertical="top"/>
    </xf>
    <xf numFmtId="41" fontId="21" fillId="0" borderId="3" xfId="11" applyNumberFormat="1" applyFont="1" applyBorder="1" applyAlignment="1">
      <alignment horizontal="right" vertical="top"/>
    </xf>
    <xf numFmtId="41" fontId="22" fillId="0" borderId="3" xfId="11" applyNumberFormat="1" applyFont="1" applyBorder="1" applyAlignment="1">
      <alignment horizontal="right" vertical="top"/>
    </xf>
    <xf numFmtId="41" fontId="22" fillId="37" borderId="3" xfId="11" applyNumberFormat="1" applyFont="1" applyFill="1" applyBorder="1" applyAlignment="1">
      <alignment horizontal="right" vertical="top"/>
    </xf>
    <xf numFmtId="41" fontId="22" fillId="3" borderId="3" xfId="11" applyNumberFormat="1" applyFont="1" applyFill="1" applyBorder="1" applyAlignment="1">
      <alignment horizontal="right" vertical="top"/>
    </xf>
    <xf numFmtId="0" fontId="20" fillId="0" borderId="3" xfId="14" applyNumberFormat="1" applyFont="1" applyBorder="1" applyAlignment="1">
      <alignment vertical="top"/>
    </xf>
    <xf numFmtId="41" fontId="20" fillId="0" borderId="3" xfId="14" applyNumberFormat="1" applyFont="1" applyBorder="1" applyAlignment="1">
      <alignment horizontal="right" vertical="top"/>
    </xf>
    <xf numFmtId="41" fontId="23" fillId="0" borderId="3" xfId="14" applyNumberFormat="1" applyFont="1" applyBorder="1" applyAlignment="1">
      <alignment horizontal="right" vertical="top"/>
    </xf>
    <xf numFmtId="0" fontId="3" fillId="0" borderId="39" xfId="0" applyFont="1" applyBorder="1" applyAlignment="1">
      <alignment horizontal="center"/>
    </xf>
    <xf numFmtId="41" fontId="5" fillId="0" borderId="0" xfId="0" applyNumberFormat="1" applyFont="1" applyBorder="1" applyAlignment="1"/>
    <xf numFmtId="0" fontId="21" fillId="0" borderId="0" xfId="4" applyNumberFormat="1" applyFont="1" applyBorder="1" applyAlignment="1">
      <alignment vertical="top"/>
    </xf>
    <xf numFmtId="41" fontId="47" fillId="0" borderId="0" xfId="0" applyNumberFormat="1" applyFont="1"/>
    <xf numFmtId="1" fontId="17" fillId="0" borderId="0" xfId="3" applyNumberFormat="1" applyFont="1" applyBorder="1" applyAlignment="1">
      <alignment horizontal="left" vertical="top"/>
    </xf>
    <xf numFmtId="0" fontId="9" fillId="2" borderId="3" xfId="15" applyNumberFormat="1" applyFont="1" applyFill="1" applyBorder="1" applyAlignment="1">
      <alignment vertical="center" wrapText="1"/>
    </xf>
    <xf numFmtId="0" fontId="9" fillId="2" borderId="3" xfId="15" applyNumberFormat="1" applyFont="1" applyFill="1" applyBorder="1" applyAlignment="1">
      <alignment horizontal="center" vertical="center" wrapText="1"/>
    </xf>
    <xf numFmtId="1" fontId="10" fillId="3" borderId="3" xfId="15" applyNumberFormat="1" applyFont="1" applyFill="1" applyBorder="1" applyAlignment="1">
      <alignment horizontal="left" vertical="top"/>
    </xf>
    <xf numFmtId="0" fontId="10" fillId="3" borderId="3" xfId="15" applyNumberFormat="1" applyFont="1" applyFill="1" applyBorder="1" applyAlignment="1">
      <alignment vertical="top" wrapText="1"/>
    </xf>
    <xf numFmtId="0" fontId="10" fillId="3" borderId="3" xfId="15" applyNumberFormat="1" applyFont="1" applyFill="1" applyBorder="1" applyAlignment="1">
      <alignment horizontal="right" vertical="top" wrapText="1"/>
    </xf>
    <xf numFmtId="1" fontId="10" fillId="0" borderId="3" xfId="15" applyNumberFormat="1" applyFont="1" applyBorder="1" applyAlignment="1">
      <alignment horizontal="left" vertical="top"/>
    </xf>
    <xf numFmtId="0" fontId="10" fillId="0" borderId="3" xfId="15" applyNumberFormat="1" applyFont="1" applyBorder="1" applyAlignment="1">
      <alignment vertical="top" indent="4"/>
    </xf>
    <xf numFmtId="0" fontId="10" fillId="3" borderId="3" xfId="15" applyNumberFormat="1" applyFont="1" applyFill="1" applyBorder="1" applyAlignment="1">
      <alignment vertical="top"/>
    </xf>
    <xf numFmtId="41" fontId="10" fillId="0" borderId="3" xfId="15" applyNumberFormat="1" applyFont="1" applyBorder="1" applyAlignment="1">
      <alignment horizontal="right" vertical="top" wrapText="1"/>
    </xf>
    <xf numFmtId="41" fontId="10" fillId="3" borderId="3" xfId="15" applyNumberFormat="1" applyFont="1" applyFill="1" applyBorder="1" applyAlignment="1">
      <alignment horizontal="right" vertical="top" wrapText="1"/>
    </xf>
    <xf numFmtId="0" fontId="15" fillId="0" borderId="0" xfId="0" applyFont="1" applyAlignment="1"/>
    <xf numFmtId="0" fontId="2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/>
    <xf numFmtId="0" fontId="0" fillId="0" borderId="48" xfId="0" applyBorder="1" applyAlignment="1"/>
    <xf numFmtId="0" fontId="0" fillId="0" borderId="42" xfId="0" applyBorder="1" applyAlignment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24" xfId="0" applyBorder="1" applyAlignment="1">
      <alignment horizontal="left"/>
    </xf>
    <xf numFmtId="164" fontId="0" fillId="0" borderId="5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25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/>
    <xf numFmtId="0" fontId="0" fillId="0" borderId="55" xfId="0" applyBorder="1" applyAlignment="1">
      <alignment horizontal="left"/>
    </xf>
    <xf numFmtId="164" fontId="0" fillId="0" borderId="45" xfId="0" applyNumberForma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4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7" xfId="0" applyBorder="1" applyAlignment="1">
      <alignment horizontal="right"/>
    </xf>
    <xf numFmtId="166" fontId="0" fillId="0" borderId="0" xfId="0" applyNumberFormat="1" applyAlignment="1"/>
    <xf numFmtId="0" fontId="7" fillId="2" borderId="3" xfId="5" applyNumberFormat="1" applyFont="1" applyFill="1" applyBorder="1" applyAlignment="1">
      <alignment vertical="center" wrapText="1"/>
    </xf>
    <xf numFmtId="0" fontId="7" fillId="2" borderId="3" xfId="5" applyNumberFormat="1" applyFont="1" applyFill="1" applyBorder="1" applyAlignment="1">
      <alignment horizontal="center" vertical="center" wrapText="1"/>
    </xf>
    <xf numFmtId="1" fontId="10" fillId="3" borderId="3" xfId="5" applyNumberFormat="1" applyFont="1" applyFill="1" applyBorder="1" applyAlignment="1">
      <alignment horizontal="left" vertical="top"/>
    </xf>
    <xf numFmtId="0" fontId="10" fillId="3" borderId="3" xfId="5" applyNumberFormat="1" applyFont="1" applyFill="1" applyBorder="1" applyAlignment="1">
      <alignment vertical="top" wrapText="1"/>
    </xf>
    <xf numFmtId="0" fontId="10" fillId="0" borderId="3" xfId="5" applyNumberFormat="1" applyFont="1" applyBorder="1" applyAlignment="1">
      <alignment vertical="top" indent="2"/>
    </xf>
    <xf numFmtId="1" fontId="10" fillId="0" borderId="3" xfId="5" applyNumberFormat="1" applyFont="1" applyBorder="1" applyAlignment="1">
      <alignment horizontal="left" vertical="top"/>
    </xf>
    <xf numFmtId="0" fontId="10" fillId="3" borderId="3" xfId="5" applyNumberFormat="1" applyFont="1" applyFill="1" applyBorder="1" applyAlignment="1">
      <alignment vertical="top"/>
    </xf>
    <xf numFmtId="41" fontId="10" fillId="3" borderId="3" xfId="5" applyNumberFormat="1" applyFont="1" applyFill="1" applyBorder="1" applyAlignment="1">
      <alignment horizontal="right" vertical="top" wrapText="1"/>
    </xf>
    <xf numFmtId="41" fontId="12" fillId="0" borderId="3" xfId="5" applyNumberFormat="1" applyFont="1" applyBorder="1" applyAlignment="1">
      <alignment horizontal="right" vertical="top" wrapText="1"/>
    </xf>
    <xf numFmtId="41" fontId="10" fillId="0" borderId="3" xfId="5" applyNumberFormat="1" applyFont="1" applyBorder="1" applyAlignment="1">
      <alignment horizontal="right" vertical="top" wrapText="1"/>
    </xf>
    <xf numFmtId="0" fontId="28" fillId="5" borderId="3" xfId="16" applyNumberFormat="1" applyFont="1" applyFill="1" applyBorder="1" applyAlignment="1">
      <alignment vertical="top" wrapText="1"/>
    </xf>
    <xf numFmtId="0" fontId="28" fillId="5" borderId="6" xfId="16" applyNumberFormat="1" applyFont="1" applyFill="1" applyBorder="1" applyAlignment="1">
      <alignment vertical="top"/>
    </xf>
    <xf numFmtId="0" fontId="28" fillId="5" borderId="6" xfId="16" applyNumberFormat="1" applyFont="1" applyFill="1" applyBorder="1" applyAlignment="1">
      <alignment vertical="top" wrapText="1"/>
    </xf>
    <xf numFmtId="0" fontId="28" fillId="5" borderId="6" xfId="16" applyNumberFormat="1" applyFont="1" applyFill="1" applyBorder="1" applyAlignment="1">
      <alignment horizontal="right" vertical="top" wrapText="1"/>
    </xf>
    <xf numFmtId="0" fontId="30" fillId="0" borderId="6" xfId="16" applyNumberFormat="1" applyFont="1" applyBorder="1" applyAlignment="1">
      <alignment vertical="top" indent="2"/>
    </xf>
    <xf numFmtId="0" fontId="30" fillId="0" borderId="6" xfId="16" applyNumberFormat="1" applyFont="1" applyBorder="1" applyAlignment="1">
      <alignment vertical="top"/>
    </xf>
    <xf numFmtId="0" fontId="30" fillId="0" borderId="6" xfId="16" applyNumberFormat="1" applyFont="1" applyBorder="1" applyAlignment="1">
      <alignment vertical="top" indent="4"/>
    </xf>
    <xf numFmtId="41" fontId="30" fillId="0" borderId="6" xfId="16" applyNumberFormat="1" applyFont="1" applyBorder="1" applyAlignment="1">
      <alignment horizontal="right" vertical="top" wrapText="1"/>
    </xf>
    <xf numFmtId="41" fontId="28" fillId="5" borderId="6" xfId="16" applyNumberFormat="1" applyFont="1" applyFill="1" applyBorder="1" applyAlignment="1">
      <alignment horizontal="right" vertical="top" wrapText="1"/>
    </xf>
    <xf numFmtId="41" fontId="0" fillId="0" borderId="54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0" fontId="4" fillId="0" borderId="0" xfId="0" applyFont="1" applyAlignment="1">
      <alignment wrapText="1"/>
    </xf>
    <xf numFmtId="41" fontId="6" fillId="0" borderId="0" xfId="1" applyNumberFormat="1" applyFill="1" applyAlignment="1"/>
    <xf numFmtId="41" fontId="5" fillId="0" borderId="0" xfId="0" applyNumberFormat="1" applyFont="1" applyFill="1"/>
    <xf numFmtId="0" fontId="4" fillId="0" borderId="0" xfId="0" applyFont="1" applyFill="1"/>
    <xf numFmtId="1" fontId="7" fillId="37" borderId="0" xfId="12" applyNumberFormat="1" applyFont="1" applyFill="1" applyBorder="1" applyAlignment="1">
      <alignment horizontal="left" vertical="top"/>
    </xf>
    <xf numFmtId="41" fontId="7" fillId="37" borderId="0" xfId="12" applyNumberFormat="1" applyFont="1" applyFill="1" applyBorder="1" applyAlignment="1">
      <alignment horizontal="right" vertical="top"/>
    </xf>
    <xf numFmtId="0" fontId="72" fillId="2" borderId="0" xfId="12" applyNumberFormat="1" applyFont="1" applyFill="1" applyBorder="1" applyAlignment="1">
      <alignment vertical="center"/>
    </xf>
    <xf numFmtId="0" fontId="60" fillId="0" borderId="0" xfId="12" applyNumberFormat="1" applyFont="1" applyBorder="1" applyAlignment="1">
      <alignment vertical="top"/>
    </xf>
    <xf numFmtId="41" fontId="60" fillId="0" borderId="0" xfId="12" applyNumberFormat="1" applyFont="1" applyBorder="1" applyAlignment="1">
      <alignment horizontal="right" vertical="top"/>
    </xf>
    <xf numFmtId="41" fontId="60" fillId="4" borderId="0" xfId="12" applyNumberFormat="1" applyFont="1" applyFill="1" applyBorder="1" applyAlignment="1">
      <alignment horizontal="right" vertical="top"/>
    </xf>
    <xf numFmtId="0" fontId="4" fillId="38" borderId="0" xfId="0" applyFont="1" applyFill="1" applyBorder="1" applyAlignment="1"/>
    <xf numFmtId="0" fontId="73" fillId="0" borderId="6" xfId="12" applyNumberFormat="1" applyFont="1" applyBorder="1" applyAlignment="1">
      <alignment horizontal="center" vertical="center"/>
    </xf>
    <xf numFmtId="0" fontId="7" fillId="37" borderId="56" xfId="0" applyNumberFormat="1" applyFont="1" applyFill="1" applyBorder="1" applyAlignment="1">
      <alignment horizontal="center" vertical="center"/>
    </xf>
    <xf numFmtId="0" fontId="7" fillId="37" borderId="57" xfId="0" applyNumberFormat="1" applyFont="1" applyFill="1" applyBorder="1" applyAlignment="1">
      <alignment horizontal="center" vertical="center"/>
    </xf>
    <xf numFmtId="0" fontId="7" fillId="37" borderId="58" xfId="0" applyNumberFormat="1" applyFont="1" applyFill="1" applyBorder="1" applyAlignment="1">
      <alignment horizontal="center" vertical="center"/>
    </xf>
    <xf numFmtId="0" fontId="7" fillId="37" borderId="59" xfId="0" applyNumberFormat="1" applyFont="1" applyFill="1" applyBorder="1" applyAlignment="1">
      <alignment horizontal="center" vertical="center"/>
    </xf>
    <xf numFmtId="0" fontId="7" fillId="37" borderId="60" xfId="0" applyNumberFormat="1" applyFont="1" applyFill="1" applyBorder="1" applyAlignment="1">
      <alignment horizontal="center" vertical="center"/>
    </xf>
    <xf numFmtId="0" fontId="7" fillId="37" borderId="61" xfId="0" applyNumberFormat="1" applyFont="1" applyFill="1" applyBorder="1" applyAlignment="1">
      <alignment horizontal="center" vertical="center"/>
    </xf>
    <xf numFmtId="0" fontId="7" fillId="37" borderId="62" xfId="0" applyNumberFormat="1" applyFont="1" applyFill="1" applyBorder="1" applyAlignment="1">
      <alignment horizontal="center" vertical="center"/>
    </xf>
    <xf numFmtId="0" fontId="7" fillId="37" borderId="63" xfId="0" applyNumberFormat="1" applyFont="1" applyFill="1" applyBorder="1" applyAlignment="1">
      <alignment horizontal="center" vertical="center"/>
    </xf>
    <xf numFmtId="0" fontId="7" fillId="37" borderId="64" xfId="0" applyNumberFormat="1" applyFont="1" applyFill="1" applyBorder="1" applyAlignment="1">
      <alignment horizontal="center" vertical="center"/>
    </xf>
    <xf numFmtId="0" fontId="10" fillId="39" borderId="59" xfId="0" applyNumberFormat="1" applyFont="1" applyFill="1" applyBorder="1" applyAlignment="1">
      <alignment vertical="top"/>
    </xf>
    <xf numFmtId="0" fontId="10" fillId="39" borderId="59" xfId="0" applyNumberFormat="1" applyFont="1" applyFill="1" applyBorder="1" applyAlignment="1">
      <alignment horizontal="right" vertical="top"/>
    </xf>
    <xf numFmtId="0" fontId="10" fillId="0" borderId="59" xfId="0" applyNumberFormat="1" applyFont="1" applyBorder="1" applyAlignment="1">
      <alignment vertical="top"/>
    </xf>
    <xf numFmtId="1" fontId="10" fillId="0" borderId="59" xfId="0" applyNumberFormat="1" applyFont="1" applyBorder="1" applyAlignment="1">
      <alignment horizontal="left" vertical="top"/>
    </xf>
    <xf numFmtId="0" fontId="7" fillId="0" borderId="0" xfId="0" applyFont="1" applyAlignment="1"/>
    <xf numFmtId="0" fontId="8" fillId="0" borderId="0" xfId="0" applyFont="1" applyAlignment="1"/>
    <xf numFmtId="41" fontId="12" fillId="0" borderId="63" xfId="0" applyNumberFormat="1" applyFont="1" applyBorder="1" applyAlignment="1">
      <alignment horizontal="right" vertical="top"/>
    </xf>
    <xf numFmtId="41" fontId="10" fillId="0" borderId="63" xfId="0" applyNumberFormat="1" applyFont="1" applyBorder="1" applyAlignment="1">
      <alignment horizontal="right" vertical="top"/>
    </xf>
    <xf numFmtId="2" fontId="10" fillId="39" borderId="59" xfId="0" applyNumberFormat="1" applyFont="1" applyFill="1" applyBorder="1" applyAlignment="1">
      <alignment horizontal="right" vertical="top"/>
    </xf>
    <xf numFmtId="4" fontId="12" fillId="39" borderId="59" xfId="0" applyNumberFormat="1" applyFont="1" applyFill="1" applyBorder="1" applyAlignment="1">
      <alignment horizontal="right" vertical="top"/>
    </xf>
    <xf numFmtId="41" fontId="22" fillId="0" borderId="0" xfId="5" applyNumberFormat="1" applyFont="1" applyBorder="1" applyAlignment="1">
      <alignment horizontal="right" vertical="top"/>
    </xf>
    <xf numFmtId="41" fontId="21" fillId="2" borderId="0" xfId="5" applyNumberFormat="1" applyFont="1" applyFill="1" applyBorder="1" applyAlignment="1">
      <alignment horizontal="right" vertical="top"/>
    </xf>
    <xf numFmtId="1" fontId="70" fillId="3" borderId="3" xfId="272" applyNumberFormat="1" applyFont="1" applyFill="1" applyBorder="1" applyAlignment="1">
      <alignment horizontal="left" vertical="top"/>
    </xf>
    <xf numFmtId="1" fontId="10" fillId="0" borderId="3" xfId="272" applyNumberFormat="1" applyFont="1" applyBorder="1" applyAlignment="1">
      <alignment horizontal="left" vertical="top"/>
    </xf>
    <xf numFmtId="0" fontId="9" fillId="3" borderId="3" xfId="272" applyNumberFormat="1" applyFont="1" applyFill="1" applyBorder="1" applyAlignment="1">
      <alignment vertical="top"/>
    </xf>
    <xf numFmtId="0" fontId="7" fillId="2" borderId="3" xfId="272" applyNumberFormat="1" applyFont="1" applyFill="1" applyBorder="1" applyAlignment="1">
      <alignment vertical="center"/>
    </xf>
    <xf numFmtId="0" fontId="7" fillId="2" borderId="3" xfId="272" applyNumberFormat="1" applyFont="1" applyFill="1" applyBorder="1" applyAlignment="1">
      <alignment horizontal="center" vertical="center"/>
    </xf>
    <xf numFmtId="0" fontId="70" fillId="3" borderId="3" xfId="272" applyNumberFormat="1" applyFont="1" applyFill="1" applyBorder="1" applyAlignment="1">
      <alignment vertical="top"/>
    </xf>
    <xf numFmtId="1" fontId="9" fillId="3" borderId="3" xfId="272" applyNumberFormat="1" applyFont="1" applyFill="1" applyBorder="1" applyAlignment="1">
      <alignment horizontal="left" vertical="top"/>
    </xf>
    <xf numFmtId="0" fontId="10" fillId="0" borderId="3" xfId="272" applyNumberFormat="1" applyFont="1" applyBorder="1" applyAlignment="1">
      <alignment vertical="top"/>
    </xf>
    <xf numFmtId="41" fontId="70" fillId="3" borderId="3" xfId="272" applyNumberFormat="1" applyFont="1" applyFill="1" applyBorder="1" applyAlignment="1">
      <alignment horizontal="right" vertical="top"/>
    </xf>
    <xf numFmtId="41" fontId="9" fillId="3" borderId="3" xfId="272" applyNumberFormat="1" applyFont="1" applyFill="1" applyBorder="1" applyAlignment="1">
      <alignment horizontal="right" vertical="top"/>
    </xf>
    <xf numFmtId="41" fontId="10" fillId="0" borderId="3" xfId="272" applyNumberFormat="1" applyFont="1" applyBorder="1" applyAlignment="1">
      <alignment horizontal="right" vertical="top"/>
    </xf>
    <xf numFmtId="0" fontId="7" fillId="2" borderId="0" xfId="272" applyNumberFormat="1" applyFont="1" applyFill="1" applyBorder="1" applyAlignment="1">
      <alignment horizontal="center" vertical="center"/>
    </xf>
    <xf numFmtId="1" fontId="11" fillId="3" borderId="3" xfId="272" applyNumberFormat="1" applyFont="1" applyFill="1" applyBorder="1" applyAlignment="1">
      <alignment horizontal="left" vertical="top"/>
    </xf>
    <xf numFmtId="0" fontId="10" fillId="3" borderId="3" xfId="272" applyNumberFormat="1" applyFont="1" applyFill="1" applyBorder="1" applyAlignment="1">
      <alignment vertical="top"/>
    </xf>
    <xf numFmtId="0" fontId="9" fillId="2" borderId="3" xfId="272" applyNumberFormat="1" applyFont="1" applyFill="1" applyBorder="1" applyAlignment="1">
      <alignment vertical="center"/>
    </xf>
    <xf numFmtId="0" fontId="9" fillId="2" borderId="3" xfId="272" applyNumberFormat="1" applyFont="1" applyFill="1" applyBorder="1" applyAlignment="1">
      <alignment horizontal="center" vertical="center"/>
    </xf>
    <xf numFmtId="0" fontId="11" fillId="3" borderId="3" xfId="272" applyNumberFormat="1" applyFont="1" applyFill="1" applyBorder="1" applyAlignment="1">
      <alignment vertical="top"/>
    </xf>
    <xf numFmtId="1" fontId="10" fillId="3" borderId="3" xfId="272" applyNumberFormat="1" applyFont="1" applyFill="1" applyBorder="1" applyAlignment="1">
      <alignment horizontal="left" vertical="top"/>
    </xf>
    <xf numFmtId="0" fontId="6" fillId="0" borderId="0" xfId="272" applyAlignment="1"/>
    <xf numFmtId="41" fontId="11" fillId="3" borderId="3" xfId="272" applyNumberFormat="1" applyFont="1" applyFill="1" applyBorder="1" applyAlignment="1">
      <alignment horizontal="right" vertical="top"/>
    </xf>
    <xf numFmtId="41" fontId="10" fillId="3" borderId="3" xfId="272" applyNumberFormat="1" applyFont="1" applyFill="1" applyBorder="1" applyAlignment="1">
      <alignment horizontal="right" vertical="top"/>
    </xf>
    <xf numFmtId="0" fontId="3" fillId="0" borderId="42" xfId="0" applyFont="1" applyBorder="1" applyAlignment="1">
      <alignment wrapText="1"/>
    </xf>
    <xf numFmtId="0" fontId="67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7" fillId="2" borderId="3" xfId="273" applyNumberFormat="1" applyFont="1" applyFill="1" applyBorder="1" applyAlignment="1">
      <alignment vertical="center"/>
    </xf>
    <xf numFmtId="1" fontId="60" fillId="37" borderId="3" xfId="273" applyNumberFormat="1" applyFont="1" applyFill="1" applyBorder="1" applyAlignment="1">
      <alignment horizontal="left" vertical="top"/>
    </xf>
    <xf numFmtId="41" fontId="17" fillId="37" borderId="3" xfId="273" applyNumberFormat="1" applyFont="1" applyFill="1" applyBorder="1" applyAlignment="1">
      <alignment horizontal="right" vertical="top"/>
    </xf>
    <xf numFmtId="0" fontId="9" fillId="0" borderId="3" xfId="273" applyNumberFormat="1" applyFont="1" applyBorder="1" applyAlignment="1">
      <alignment vertical="top"/>
    </xf>
    <xf numFmtId="41" fontId="30" fillId="0" borderId="3" xfId="273" applyNumberFormat="1" applyFont="1" applyBorder="1" applyAlignment="1">
      <alignment horizontal="right" vertical="top"/>
    </xf>
    <xf numFmtId="41" fontId="31" fillId="0" borderId="3" xfId="273" applyNumberFormat="1" applyFont="1" applyBorder="1" applyAlignment="1">
      <alignment horizontal="right" vertical="top"/>
    </xf>
    <xf numFmtId="41" fontId="5" fillId="0" borderId="1" xfId="0" applyNumberFormat="1" applyFont="1" applyBorder="1" applyAlignment="1"/>
    <xf numFmtId="41" fontId="21" fillId="0" borderId="0" xfId="9" applyNumberFormat="1" applyFont="1" applyBorder="1" applyAlignment="1">
      <alignment horizontal="left" vertical="top" wrapText="1"/>
    </xf>
    <xf numFmtId="0" fontId="7" fillId="2" borderId="3" xfId="272" applyNumberFormat="1" applyFont="1" applyFill="1" applyBorder="1" applyAlignment="1">
      <alignment vertical="center" wrapText="1"/>
    </xf>
    <xf numFmtId="0" fontId="7" fillId="2" borderId="3" xfId="272" applyNumberFormat="1" applyFont="1" applyFill="1" applyBorder="1" applyAlignment="1">
      <alignment horizontal="center" vertical="center" wrapText="1"/>
    </xf>
    <xf numFmtId="0" fontId="10" fillId="0" borderId="3" xfId="272" applyNumberFormat="1" applyFont="1" applyBorder="1" applyAlignment="1">
      <alignment vertical="top" indent="2"/>
    </xf>
    <xf numFmtId="0" fontId="10" fillId="0" borderId="3" xfId="272" applyNumberFormat="1" applyFont="1" applyBorder="1" applyAlignment="1">
      <alignment vertical="top" indent="4"/>
    </xf>
    <xf numFmtId="0" fontId="10" fillId="0" borderId="3" xfId="272" applyNumberFormat="1" applyFont="1" applyBorder="1" applyAlignment="1">
      <alignment vertical="top" indent="6"/>
    </xf>
    <xf numFmtId="0" fontId="10" fillId="0" borderId="3" xfId="272" applyNumberFormat="1" applyFont="1" applyBorder="1" applyAlignment="1">
      <alignment vertical="top" indent="8"/>
    </xf>
    <xf numFmtId="41" fontId="10" fillId="0" borderId="3" xfId="272" applyNumberFormat="1" applyFont="1" applyBorder="1" applyAlignment="1">
      <alignment horizontal="right" vertical="top" wrapText="1"/>
    </xf>
    <xf numFmtId="1" fontId="10" fillId="0" borderId="0" xfId="272" applyNumberFormat="1" applyFont="1" applyBorder="1" applyAlignment="1">
      <alignment horizontal="left" vertical="top"/>
    </xf>
    <xf numFmtId="41" fontId="67" fillId="0" borderId="0" xfId="0" applyNumberFormat="1" applyFont="1"/>
    <xf numFmtId="0" fontId="9" fillId="2" borderId="3" xfId="272" applyNumberFormat="1" applyFont="1" applyFill="1" applyBorder="1" applyAlignment="1">
      <alignment vertical="center" wrapText="1"/>
    </xf>
    <xf numFmtId="0" fontId="9" fillId="2" borderId="3" xfId="272" applyNumberFormat="1" applyFont="1" applyFill="1" applyBorder="1" applyAlignment="1">
      <alignment horizontal="center" vertical="center" wrapText="1"/>
    </xf>
    <xf numFmtId="0" fontId="9" fillId="3" borderId="3" xfId="272" applyNumberFormat="1" applyFont="1" applyFill="1" applyBorder="1" applyAlignment="1">
      <alignment vertical="top" wrapText="1"/>
    </xf>
    <xf numFmtId="0" fontId="9" fillId="3" borderId="3" xfId="272" applyNumberFormat="1" applyFont="1" applyFill="1" applyBorder="1" applyAlignment="1">
      <alignment horizontal="right" vertical="top" wrapText="1"/>
    </xf>
    <xf numFmtId="41" fontId="9" fillId="3" borderId="3" xfId="272" applyNumberFormat="1" applyFont="1" applyFill="1" applyBorder="1" applyAlignment="1">
      <alignment horizontal="right" vertical="top" wrapText="1"/>
    </xf>
    <xf numFmtId="41" fontId="0" fillId="0" borderId="0" xfId="0" applyNumberFormat="1" applyBorder="1"/>
    <xf numFmtId="0" fontId="11" fillId="3" borderId="3" xfId="272" applyNumberFormat="1" applyFont="1" applyFill="1" applyBorder="1" applyAlignment="1">
      <alignment vertical="top" wrapText="1"/>
    </xf>
    <xf numFmtId="41" fontId="11" fillId="3" borderId="3" xfId="272" applyNumberFormat="1" applyFont="1" applyFill="1" applyBorder="1" applyAlignment="1">
      <alignment horizontal="right" vertical="top" wrapText="1"/>
    </xf>
    <xf numFmtId="0" fontId="146" fillId="0" borderId="0" xfId="0" applyFont="1"/>
    <xf numFmtId="41" fontId="12" fillId="0" borderId="3" xfId="272" applyNumberFormat="1" applyFont="1" applyBorder="1" applyAlignment="1">
      <alignment horizontal="right" vertical="top" wrapText="1"/>
    </xf>
    <xf numFmtId="41" fontId="13" fillId="3" borderId="3" xfId="272" applyNumberFormat="1" applyFont="1" applyFill="1" applyBorder="1" applyAlignment="1">
      <alignment horizontal="right" vertical="top" wrapText="1"/>
    </xf>
    <xf numFmtId="0" fontId="10" fillId="3" borderId="3" xfId="272" applyNumberFormat="1" applyFont="1" applyFill="1" applyBorder="1" applyAlignment="1">
      <alignment vertical="top" wrapText="1"/>
    </xf>
    <xf numFmtId="0" fontId="10" fillId="3" borderId="3" xfId="272" applyNumberFormat="1" applyFont="1" applyFill="1" applyBorder="1" applyAlignment="1">
      <alignment horizontal="right" vertical="top" wrapText="1"/>
    </xf>
    <xf numFmtId="41" fontId="10" fillId="3" borderId="3" xfId="272" applyNumberFormat="1" applyFont="1" applyFill="1" applyBorder="1" applyAlignment="1">
      <alignment horizontal="right" vertical="top" wrapText="1"/>
    </xf>
    <xf numFmtId="1" fontId="10" fillId="3" borderId="3" xfId="272" applyNumberFormat="1" applyFont="1" applyFill="1" applyBorder="1" applyAlignment="1">
      <alignment horizontal="left" vertical="top" indent="2"/>
    </xf>
    <xf numFmtId="0" fontId="10" fillId="3" borderId="3" xfId="272" applyNumberFormat="1" applyFont="1" applyFill="1" applyBorder="1" applyAlignment="1">
      <alignment vertical="top" wrapText="1" indent="2"/>
    </xf>
    <xf numFmtId="0" fontId="10" fillId="3" borderId="3" xfId="272" applyNumberFormat="1" applyFont="1" applyFill="1" applyBorder="1" applyAlignment="1">
      <alignment vertical="top" indent="2"/>
    </xf>
    <xf numFmtId="41" fontId="12" fillId="3" borderId="3" xfId="272" applyNumberFormat="1" applyFont="1" applyFill="1" applyBorder="1" applyAlignment="1">
      <alignment horizontal="right" vertical="top" wrapText="1"/>
    </xf>
    <xf numFmtId="4" fontId="10" fillId="0" borderId="3" xfId="281" applyNumberFormat="1" applyFont="1" applyBorder="1" applyAlignment="1">
      <alignment horizontal="right" vertical="top" wrapText="1"/>
    </xf>
    <xf numFmtId="0" fontId="7" fillId="2" borderId="3" xfId="281" applyNumberFormat="1" applyFont="1" applyFill="1" applyBorder="1" applyAlignment="1">
      <alignment vertical="center" wrapText="1"/>
    </xf>
    <xf numFmtId="0" fontId="7" fillId="2" borderId="3" xfId="281" applyNumberFormat="1" applyFont="1" applyFill="1" applyBorder="1" applyAlignment="1">
      <alignment horizontal="center" vertical="center" wrapText="1"/>
    </xf>
    <xf numFmtId="1" fontId="10" fillId="3" borderId="3" xfId="281" applyNumberFormat="1" applyFont="1" applyFill="1" applyBorder="1" applyAlignment="1">
      <alignment horizontal="left" vertical="top"/>
    </xf>
    <xf numFmtId="0" fontId="10" fillId="3" borderId="3" xfId="281" applyNumberFormat="1" applyFont="1" applyFill="1" applyBorder="1" applyAlignment="1">
      <alignment vertical="top" wrapText="1"/>
    </xf>
    <xf numFmtId="0" fontId="10" fillId="3" borderId="3" xfId="281" applyNumberFormat="1" applyFont="1" applyFill="1" applyBorder="1" applyAlignment="1">
      <alignment horizontal="right" vertical="top" wrapText="1"/>
    </xf>
    <xf numFmtId="4" fontId="10" fillId="3" borderId="3" xfId="281" applyNumberFormat="1" applyFont="1" applyFill="1" applyBorder="1" applyAlignment="1">
      <alignment horizontal="right" vertical="top" wrapText="1"/>
    </xf>
    <xf numFmtId="0" fontId="10" fillId="0" borderId="3" xfId="281" applyNumberFormat="1" applyFont="1" applyBorder="1" applyAlignment="1">
      <alignment vertical="top" indent="2"/>
    </xf>
    <xf numFmtId="1" fontId="10" fillId="0" borderId="3" xfId="281" applyNumberFormat="1" applyFont="1" applyBorder="1" applyAlignment="1">
      <alignment horizontal="left" vertical="top"/>
    </xf>
    <xf numFmtId="4" fontId="12" fillId="0" borderId="3" xfId="281" applyNumberFormat="1" applyFont="1" applyBorder="1" applyAlignment="1">
      <alignment horizontal="right" vertical="top" wrapText="1"/>
    </xf>
    <xf numFmtId="0" fontId="10" fillId="0" borderId="3" xfId="281" applyNumberFormat="1" applyFont="1" applyBorder="1" applyAlignment="1">
      <alignment horizontal="right" vertical="top" wrapText="1"/>
    </xf>
    <xf numFmtId="0" fontId="10" fillId="0" borderId="3" xfId="281" applyNumberFormat="1" applyFont="1" applyBorder="1" applyAlignment="1">
      <alignment vertical="top" indent="4"/>
    </xf>
    <xf numFmtId="0" fontId="10" fillId="3" borderId="3" xfId="281" applyNumberFormat="1" applyFont="1" applyFill="1" applyBorder="1" applyAlignment="1">
      <alignment vertical="top"/>
    </xf>
    <xf numFmtId="4" fontId="12" fillId="3" borderId="3" xfId="281" applyNumberFormat="1" applyFont="1" applyFill="1" applyBorder="1" applyAlignment="1">
      <alignment horizontal="right" vertical="top" wrapText="1"/>
    </xf>
    <xf numFmtId="1" fontId="9" fillId="3" borderId="3" xfId="281" applyNumberFormat="1" applyFont="1" applyFill="1" applyBorder="1" applyAlignment="1">
      <alignment horizontal="left" vertical="top"/>
    </xf>
    <xf numFmtId="0" fontId="9" fillId="3" borderId="3" xfId="281" applyNumberFormat="1" applyFont="1" applyFill="1" applyBorder="1" applyAlignment="1">
      <alignment vertical="top" wrapText="1"/>
    </xf>
    <xf numFmtId="0" fontId="9" fillId="3" borderId="3" xfId="281" applyNumberFormat="1" applyFont="1" applyFill="1" applyBorder="1" applyAlignment="1">
      <alignment horizontal="right" vertical="top" wrapText="1"/>
    </xf>
    <xf numFmtId="0" fontId="10" fillId="0" borderId="3" xfId="281" applyNumberFormat="1" applyFont="1" applyBorder="1" applyAlignment="1">
      <alignment vertical="top" indent="6"/>
    </xf>
    <xf numFmtId="0" fontId="9" fillId="3" borderId="3" xfId="281" applyNumberFormat="1" applyFont="1" applyFill="1" applyBorder="1" applyAlignment="1">
      <alignment vertical="top"/>
    </xf>
    <xf numFmtId="41" fontId="10" fillId="0" borderId="3" xfId="281" applyNumberFormat="1" applyFont="1" applyBorder="1" applyAlignment="1">
      <alignment horizontal="right" vertical="top" wrapText="1"/>
    </xf>
    <xf numFmtId="41" fontId="12" fillId="0" borderId="3" xfId="281" applyNumberFormat="1" applyFont="1" applyBorder="1" applyAlignment="1">
      <alignment horizontal="right" vertical="top" wrapText="1"/>
    </xf>
    <xf numFmtId="41" fontId="9" fillId="3" borderId="3" xfId="281" applyNumberFormat="1" applyFont="1" applyFill="1" applyBorder="1" applyAlignment="1">
      <alignment horizontal="right" vertical="top" wrapText="1"/>
    </xf>
    <xf numFmtId="0" fontId="47" fillId="0" borderId="0" xfId="0" applyFont="1"/>
    <xf numFmtId="4" fontId="10" fillId="0" borderId="3" xfId="272" applyNumberFormat="1" applyFont="1" applyBorder="1" applyAlignment="1">
      <alignment horizontal="right" vertical="top" wrapText="1"/>
    </xf>
    <xf numFmtId="0" fontId="10" fillId="0" borderId="3" xfId="272" applyNumberFormat="1" applyFont="1" applyBorder="1" applyAlignment="1">
      <alignment horizontal="right" vertical="top" wrapText="1"/>
    </xf>
    <xf numFmtId="0" fontId="10" fillId="0" borderId="3" xfId="272" applyNumberFormat="1" applyFont="1" applyBorder="1" applyAlignment="1">
      <alignment horizontal="right" vertical="top"/>
    </xf>
    <xf numFmtId="4" fontId="10" fillId="3" borderId="3" xfId="272" applyNumberFormat="1" applyFont="1" applyFill="1" applyBorder="1" applyAlignment="1">
      <alignment horizontal="right" vertical="top" wrapText="1"/>
    </xf>
    <xf numFmtId="37" fontId="21" fillId="0" borderId="0" xfId="17" applyNumberFormat="1" applyFont="1"/>
    <xf numFmtId="37" fontId="20" fillId="0" borderId="0" xfId="17" applyNumberFormat="1" applyFont="1"/>
    <xf numFmtId="37" fontId="21" fillId="0" borderId="0" xfId="17" applyNumberFormat="1" applyFont="1" applyFill="1"/>
    <xf numFmtId="1" fontId="10" fillId="3" borderId="3" xfId="272" applyNumberFormat="1" applyFont="1" applyFill="1" applyBorder="1" applyAlignment="1">
      <alignment horizontal="left" vertical="top" wrapText="1"/>
    </xf>
    <xf numFmtId="0" fontId="10" fillId="0" borderId="3" xfId="272" applyNumberFormat="1" applyFont="1" applyBorder="1" applyAlignment="1">
      <alignment vertical="top" wrapText="1"/>
    </xf>
    <xf numFmtId="1" fontId="10" fillId="0" borderId="3" xfId="272" applyNumberFormat="1" applyFont="1" applyBorder="1" applyAlignment="1">
      <alignment horizontal="left" vertical="top" wrapText="1"/>
    </xf>
    <xf numFmtId="0" fontId="10" fillId="3" borderId="3" xfId="272" applyNumberFormat="1" applyFont="1" applyFill="1" applyBorder="1" applyAlignment="1">
      <alignment horizontal="right" vertical="top"/>
    </xf>
    <xf numFmtId="41" fontId="12" fillId="0" borderId="3" xfId="272" applyNumberFormat="1" applyFont="1" applyBorder="1" applyAlignment="1">
      <alignment horizontal="right" vertical="top"/>
    </xf>
    <xf numFmtId="41" fontId="12" fillId="3" borderId="3" xfId="272" applyNumberFormat="1" applyFont="1" applyFill="1" applyBorder="1" applyAlignment="1">
      <alignment horizontal="right" vertical="top"/>
    </xf>
    <xf numFmtId="0" fontId="9" fillId="2" borderId="82" xfId="272" applyNumberFormat="1" applyFont="1" applyFill="1" applyBorder="1" applyAlignment="1">
      <alignment horizontal="center" vertical="center"/>
    </xf>
    <xf numFmtId="0" fontId="10" fillId="0" borderId="3" xfId="272" applyNumberFormat="1" applyFont="1" applyBorder="1" applyAlignment="1">
      <alignment horizontal="left" vertical="top"/>
    </xf>
    <xf numFmtId="0" fontId="7" fillId="0" borderId="0" xfId="272" applyFont="1" applyAlignment="1"/>
    <xf numFmtId="0" fontId="8" fillId="0" borderId="0" xfId="272" applyFont="1" applyAlignment="1"/>
    <xf numFmtId="4" fontId="10" fillId="0" borderId="82" xfId="272" applyNumberFormat="1" applyFont="1" applyBorder="1" applyAlignment="1">
      <alignment horizontal="right" vertical="top"/>
    </xf>
    <xf numFmtId="4" fontId="10" fillId="3" borderId="82" xfId="272" applyNumberFormat="1" applyFont="1" applyFill="1" applyBorder="1" applyAlignment="1">
      <alignment horizontal="right" vertical="top"/>
    </xf>
    <xf numFmtId="0" fontId="9" fillId="2" borderId="79" xfId="272" applyNumberFormat="1" applyFont="1" applyFill="1" applyBorder="1" applyAlignment="1">
      <alignment horizontal="center" vertical="center"/>
    </xf>
    <xf numFmtId="0" fontId="9" fillId="2" borderId="2" xfId="272" applyNumberFormat="1" applyFont="1" applyFill="1" applyBorder="1" applyAlignment="1">
      <alignment horizontal="center" vertical="center"/>
    </xf>
    <xf numFmtId="0" fontId="9" fillId="2" borderId="80" xfId="272" applyNumberFormat="1" applyFont="1" applyFill="1" applyBorder="1" applyAlignment="1">
      <alignment horizontal="center" vertical="center"/>
    </xf>
    <xf numFmtId="0" fontId="9" fillId="2" borderId="37" xfId="272" applyNumberFormat="1" applyFont="1" applyFill="1" applyBorder="1" applyAlignment="1">
      <alignment horizontal="center" vertical="center"/>
    </xf>
    <xf numFmtId="0" fontId="9" fillId="2" borderId="4" xfId="272" applyNumberFormat="1" applyFont="1" applyFill="1" applyBorder="1" applyAlignment="1">
      <alignment horizontal="center" vertical="center"/>
    </xf>
    <xf numFmtId="0" fontId="9" fillId="2" borderId="81" xfId="272" applyNumberFormat="1" applyFont="1" applyFill="1" applyBorder="1" applyAlignment="1">
      <alignment horizontal="center" vertical="center"/>
    </xf>
    <xf numFmtId="41" fontId="3" fillId="4" borderId="0" xfId="0" applyNumberFormat="1" applyFont="1" applyFill="1"/>
    <xf numFmtId="0" fontId="5" fillId="0" borderId="0" xfId="0" applyFont="1" applyAlignment="1">
      <alignment horizontal="center"/>
    </xf>
    <xf numFmtId="9" fontId="5" fillId="0" borderId="0" xfId="0" applyNumberFormat="1" applyFont="1"/>
    <xf numFmtId="0" fontId="4" fillId="0" borderId="39" xfId="0" applyFont="1" applyBorder="1" applyAlignment="1">
      <alignment wrapText="1"/>
    </xf>
    <xf numFmtId="37" fontId="20" fillId="0" borderId="1" xfId="17" applyNumberFormat="1" applyFont="1" applyBorder="1"/>
    <xf numFmtId="4" fontId="10" fillId="0" borderId="0" xfId="282" applyNumberFormat="1" applyFont="1" applyBorder="1" applyAlignment="1">
      <alignment horizontal="right" vertical="top" wrapText="1"/>
    </xf>
    <xf numFmtId="41" fontId="0" fillId="4" borderId="0" xfId="0" applyNumberFormat="1" applyFill="1"/>
    <xf numFmtId="1" fontId="10" fillId="0" borderId="0" xfId="2" applyNumberFormat="1" applyFont="1" applyBorder="1" applyAlignment="1">
      <alignment horizontal="left" vertical="top"/>
    </xf>
    <xf numFmtId="41" fontId="10" fillId="0" borderId="0" xfId="2" applyNumberFormat="1" applyFont="1" applyBorder="1" applyAlignment="1">
      <alignment horizontal="right" vertical="top" wrapText="1"/>
    </xf>
    <xf numFmtId="41" fontId="12" fillId="0" borderId="0" xfId="2" applyNumberFormat="1" applyFont="1" applyBorder="1" applyAlignment="1">
      <alignment horizontal="right" vertical="top" wrapText="1"/>
    </xf>
    <xf numFmtId="0" fontId="10" fillId="65" borderId="3" xfId="1" applyNumberFormat="1" applyFont="1" applyFill="1" applyBorder="1" applyAlignment="1">
      <alignment vertical="top"/>
    </xf>
    <xf numFmtId="41" fontId="10" fillId="65" borderId="3" xfId="1" applyNumberFormat="1" applyFont="1" applyFill="1" applyBorder="1" applyAlignment="1">
      <alignment horizontal="right" vertical="top"/>
    </xf>
    <xf numFmtId="41" fontId="10" fillId="4" borderId="3" xfId="1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1" fontId="0" fillId="0" borderId="42" xfId="0" applyNumberFormat="1" applyBorder="1"/>
    <xf numFmtId="0" fontId="10" fillId="0" borderId="0" xfId="283" applyNumberFormat="1" applyFont="1" applyBorder="1" applyAlignment="1">
      <alignment vertical="top"/>
    </xf>
    <xf numFmtId="185" fontId="10" fillId="0" borderId="0" xfId="283" applyNumberFormat="1" applyFont="1" applyBorder="1" applyAlignment="1">
      <alignment horizontal="right" vertical="top" wrapText="1"/>
    </xf>
    <xf numFmtId="0" fontId="7" fillId="0" borderId="0" xfId="284" applyFont="1"/>
    <xf numFmtId="0" fontId="6" fillId="0" borderId="0" xfId="284"/>
    <xf numFmtId="0" fontId="8" fillId="0" borderId="0" xfId="284" applyFont="1"/>
    <xf numFmtId="0" fontId="9" fillId="2" borderId="3" xfId="284" applyNumberFormat="1" applyFont="1" applyFill="1" applyBorder="1" applyAlignment="1">
      <alignment vertical="center" wrapText="1"/>
    </xf>
    <xf numFmtId="0" fontId="9" fillId="2" borderId="3" xfId="284" applyNumberFormat="1" applyFont="1" applyFill="1" applyBorder="1" applyAlignment="1">
      <alignment horizontal="center" vertical="center" wrapText="1"/>
    </xf>
    <xf numFmtId="1" fontId="10" fillId="3" borderId="3" xfId="284" applyNumberFormat="1" applyFont="1" applyFill="1" applyBorder="1" applyAlignment="1">
      <alignment horizontal="left" vertical="top"/>
    </xf>
    <xf numFmtId="0" fontId="10" fillId="3" borderId="3" xfId="284" applyNumberFormat="1" applyFont="1" applyFill="1" applyBorder="1" applyAlignment="1">
      <alignment vertical="top" wrapText="1"/>
    </xf>
    <xf numFmtId="0" fontId="10" fillId="3" borderId="3" xfId="284" applyNumberFormat="1" applyFont="1" applyFill="1" applyBorder="1" applyAlignment="1">
      <alignment horizontal="right" vertical="top" wrapText="1"/>
    </xf>
    <xf numFmtId="0" fontId="10" fillId="0" borderId="3" xfId="284" applyNumberFormat="1" applyFont="1" applyBorder="1" applyAlignment="1">
      <alignment vertical="top" indent="2"/>
    </xf>
    <xf numFmtId="1" fontId="10" fillId="0" borderId="3" xfId="284" applyNumberFormat="1" applyFont="1" applyBorder="1" applyAlignment="1">
      <alignment horizontal="left" vertical="top"/>
    </xf>
    <xf numFmtId="0" fontId="10" fillId="0" borderId="3" xfId="284" applyNumberFormat="1" applyFont="1" applyBorder="1" applyAlignment="1">
      <alignment vertical="top" indent="4"/>
    </xf>
    <xf numFmtId="0" fontId="10" fillId="3" borderId="3" xfId="284" applyNumberFormat="1" applyFont="1" applyFill="1" applyBorder="1" applyAlignment="1">
      <alignment vertical="top"/>
    </xf>
    <xf numFmtId="41" fontId="10" fillId="0" borderId="3" xfId="284" applyNumberFormat="1" applyFont="1" applyBorder="1" applyAlignment="1">
      <alignment horizontal="right" vertical="top" wrapText="1"/>
    </xf>
    <xf numFmtId="41" fontId="10" fillId="3" borderId="3" xfId="284" applyNumberFormat="1" applyFont="1" applyFill="1" applyBorder="1" applyAlignment="1">
      <alignment horizontal="right" vertical="top" wrapText="1"/>
    </xf>
    <xf numFmtId="1" fontId="9" fillId="3" borderId="3" xfId="284" applyNumberFormat="1" applyFont="1" applyFill="1" applyBorder="1" applyAlignment="1">
      <alignment horizontal="left" vertical="top"/>
    </xf>
    <xf numFmtId="0" fontId="9" fillId="3" borderId="3" xfId="284" applyNumberFormat="1" applyFont="1" applyFill="1" applyBorder="1" applyAlignment="1">
      <alignment vertical="top"/>
    </xf>
    <xf numFmtId="0" fontId="7" fillId="0" borderId="0" xfId="284" applyFont="1" applyAlignment="1"/>
    <xf numFmtId="0" fontId="6" fillId="0" borderId="0" xfId="284" applyAlignment="1"/>
    <xf numFmtId="0" fontId="8" fillId="0" borderId="0" xfId="284" applyFont="1" applyAlignment="1"/>
    <xf numFmtId="0" fontId="7" fillId="2" borderId="3" xfId="284" applyNumberFormat="1" applyFont="1" applyFill="1" applyBorder="1" applyAlignment="1">
      <alignment vertical="center"/>
    </xf>
    <xf numFmtId="0" fontId="7" fillId="2" borderId="3" xfId="284" applyNumberFormat="1" applyFont="1" applyFill="1" applyBorder="1" applyAlignment="1">
      <alignment horizontal="center" vertical="center"/>
    </xf>
    <xf numFmtId="0" fontId="10" fillId="0" borderId="3" xfId="284" applyNumberFormat="1" applyFont="1" applyBorder="1" applyAlignment="1">
      <alignment vertical="top"/>
    </xf>
    <xf numFmtId="41" fontId="9" fillId="3" borderId="3" xfId="284" applyNumberFormat="1" applyFont="1" applyFill="1" applyBorder="1" applyAlignment="1">
      <alignment horizontal="right" vertical="top"/>
    </xf>
    <xf numFmtId="41" fontId="10" fillId="0" borderId="3" xfId="284" applyNumberFormat="1" applyFont="1" applyBorder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41" fontId="25" fillId="0" borderId="0" xfId="17" applyNumberFormat="1" applyFont="1"/>
    <xf numFmtId="0" fontId="148" fillId="0" borderId="0" xfId="0" applyFont="1"/>
    <xf numFmtId="0" fontId="9" fillId="37" borderId="3" xfId="273" applyNumberFormat="1" applyFont="1" applyFill="1" applyBorder="1" applyAlignment="1">
      <alignment vertical="top"/>
    </xf>
    <xf numFmtId="41" fontId="9" fillId="37" borderId="3" xfId="273" applyNumberFormat="1" applyFont="1" applyFill="1" applyBorder="1" applyAlignment="1">
      <alignment horizontal="right" vertical="top"/>
    </xf>
    <xf numFmtId="0" fontId="10" fillId="0" borderId="3" xfId="273" applyNumberFormat="1" applyFont="1" applyBorder="1" applyAlignment="1">
      <alignment vertical="top"/>
    </xf>
    <xf numFmtId="1" fontId="10" fillId="0" borderId="3" xfId="273" applyNumberFormat="1" applyFont="1" applyBorder="1" applyAlignment="1">
      <alignment horizontal="left" vertical="top"/>
    </xf>
    <xf numFmtId="41" fontId="10" fillId="0" borderId="3" xfId="273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/>
    <xf numFmtId="41" fontId="151" fillId="0" borderId="0" xfId="0" applyNumberFormat="1" applyFont="1" applyBorder="1" applyAlignment="1">
      <alignment vertical="center"/>
    </xf>
    <xf numFmtId="0" fontId="53" fillId="0" borderId="0" xfId="0" applyFont="1" applyBorder="1"/>
    <xf numFmtId="0" fontId="150" fillId="0" borderId="0" xfId="0" applyFont="1" applyBorder="1" applyAlignment="1">
      <alignment vertical="center"/>
    </xf>
    <xf numFmtId="0" fontId="151" fillId="0" borderId="0" xfId="0" applyFont="1" applyBorder="1" applyAlignment="1">
      <alignment vertical="center"/>
    </xf>
    <xf numFmtId="41" fontId="53" fillId="0" borderId="0" xfId="0" applyNumberFormat="1" applyFont="1" applyBorder="1"/>
    <xf numFmtId="0" fontId="5" fillId="0" borderId="0" xfId="0" applyFont="1" applyFill="1" applyBorder="1" applyAlignment="1">
      <alignment wrapText="1"/>
    </xf>
    <xf numFmtId="41" fontId="151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65" fillId="0" borderId="0" xfId="0" applyFont="1" applyFill="1" applyBorder="1"/>
    <xf numFmtId="41" fontId="65" fillId="0" borderId="0" xfId="0" applyNumberFormat="1" applyFont="1" applyFill="1" applyBorder="1"/>
    <xf numFmtId="0" fontId="14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153" fillId="0" borderId="42" xfId="0" applyFont="1" applyBorder="1" applyAlignment="1">
      <alignment horizontal="left" vertical="center"/>
    </xf>
    <xf numFmtId="0" fontId="152" fillId="0" borderId="83" xfId="0" applyFont="1" applyBorder="1" applyAlignment="1">
      <alignment vertical="center"/>
    </xf>
    <xf numFmtId="41" fontId="152" fillId="0" borderId="83" xfId="0" applyNumberFormat="1" applyFont="1" applyBorder="1" applyAlignment="1">
      <alignment horizontal="left" vertical="center"/>
    </xf>
    <xf numFmtId="41" fontId="153" fillId="0" borderId="42" xfId="0" applyNumberFormat="1" applyFont="1" applyBorder="1" applyAlignment="1">
      <alignment horizontal="left" vertical="center"/>
    </xf>
    <xf numFmtId="41" fontId="153" fillId="0" borderId="42" xfId="0" applyNumberFormat="1" applyFont="1" applyBorder="1" applyAlignment="1">
      <alignment horizontal="right" vertical="center"/>
    </xf>
    <xf numFmtId="41" fontId="153" fillId="0" borderId="0" xfId="0" applyNumberFormat="1" applyFont="1" applyAlignment="1">
      <alignment horizontal="left" vertical="center"/>
    </xf>
    <xf numFmtId="41" fontId="153" fillId="0" borderId="83" xfId="0" applyNumberFormat="1" applyFont="1" applyBorder="1" applyAlignment="1">
      <alignment horizontal="left" vertical="center"/>
    </xf>
    <xf numFmtId="41" fontId="153" fillId="0" borderId="0" xfId="0" applyNumberFormat="1" applyFont="1" applyBorder="1" applyAlignment="1">
      <alignment horizontal="left" vertical="center"/>
    </xf>
    <xf numFmtId="186" fontId="0" fillId="0" borderId="0" xfId="0" applyNumberFormat="1"/>
    <xf numFmtId="0" fontId="5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0" fillId="0" borderId="0" xfId="0" applyFont="1" applyAlignment="1">
      <alignment horizontal="center"/>
    </xf>
    <xf numFmtId="41" fontId="0" fillId="0" borderId="0" xfId="0" applyNumberFormat="1" applyFont="1" applyBorder="1"/>
    <xf numFmtId="0" fontId="0" fillId="0" borderId="0" xfId="0" applyFont="1" applyBorder="1"/>
    <xf numFmtId="10" fontId="5" fillId="0" borderId="0" xfId="0" applyNumberFormat="1" applyFont="1"/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left" vertical="center" indent="2"/>
    </xf>
    <xf numFmtId="14" fontId="4" fillId="0" borderId="0" xfId="0" applyNumberFormat="1" applyFont="1" applyAlignment="1">
      <alignment horizontal="center"/>
    </xf>
    <xf numFmtId="0" fontId="156" fillId="0" borderId="0" xfId="0" applyFont="1" applyAlignment="1">
      <alignment horizontal="left" vertical="center"/>
    </xf>
    <xf numFmtId="0" fontId="156" fillId="0" borderId="0" xfId="0" applyFont="1" applyAlignment="1">
      <alignment horizontal="right" vertical="center"/>
    </xf>
    <xf numFmtId="0" fontId="158" fillId="0" borderId="0" xfId="0" applyFont="1" applyAlignment="1">
      <alignment horizontal="left" vertical="center"/>
    </xf>
    <xf numFmtId="0" fontId="157" fillId="0" borderId="0" xfId="0" applyFont="1" applyAlignment="1">
      <alignment horizontal="left" vertical="center"/>
    </xf>
    <xf numFmtId="0" fontId="157" fillId="0" borderId="42" xfId="0" applyFont="1" applyBorder="1" applyAlignment="1">
      <alignment horizontal="left" vertical="center"/>
    </xf>
    <xf numFmtId="41" fontId="158" fillId="0" borderId="0" xfId="0" applyNumberFormat="1" applyFont="1" applyAlignment="1">
      <alignment horizontal="left" vertical="center"/>
    </xf>
    <xf numFmtId="0" fontId="158" fillId="0" borderId="0" xfId="0" applyFont="1" applyAlignment="1">
      <alignment vertical="center"/>
    </xf>
    <xf numFmtId="0" fontId="159" fillId="0" borderId="42" xfId="0" applyFont="1" applyBorder="1" applyAlignment="1">
      <alignment vertical="center" wrapText="1"/>
    </xf>
    <xf numFmtId="0" fontId="156" fillId="0" borderId="42" xfId="0" applyFont="1" applyBorder="1" applyAlignment="1">
      <alignment vertical="center" wrapText="1"/>
    </xf>
    <xf numFmtId="41" fontId="157" fillId="0" borderId="0" xfId="0" applyNumberFormat="1" applyFont="1" applyAlignment="1">
      <alignment horizontal="left" vertical="center"/>
    </xf>
    <xf numFmtId="41" fontId="158" fillId="0" borderId="0" xfId="0" applyNumberFormat="1" applyFont="1" applyAlignment="1">
      <alignment vertical="center"/>
    </xf>
    <xf numFmtId="41" fontId="157" fillId="0" borderId="42" xfId="0" applyNumberFormat="1" applyFont="1" applyBorder="1" applyAlignment="1">
      <alignment horizontal="left" vertical="center"/>
    </xf>
    <xf numFmtId="185" fontId="74" fillId="0" borderId="0" xfId="0" applyNumberFormat="1" applyFont="1" applyFill="1"/>
    <xf numFmtId="0" fontId="74" fillId="0" borderId="0" xfId="0" applyFont="1" applyFill="1"/>
    <xf numFmtId="0" fontId="74" fillId="0" borderId="0" xfId="0" applyFont="1" applyFill="1" applyBorder="1"/>
    <xf numFmtId="0" fontId="161" fillId="0" borderId="39" xfId="0" applyFont="1" applyFill="1" applyBorder="1" applyAlignment="1">
      <alignment horizontal="center"/>
    </xf>
    <xf numFmtId="0" fontId="161" fillId="0" borderId="0" xfId="0" applyFont="1" applyFill="1"/>
    <xf numFmtId="9" fontId="21" fillId="0" borderId="0" xfId="0" applyNumberFormat="1" applyFont="1" applyFill="1"/>
    <xf numFmtId="0" fontId="18" fillId="0" borderId="0" xfId="0" applyFont="1" applyFill="1"/>
    <xf numFmtId="0" fontId="5" fillId="0" borderId="39" xfId="0" applyFont="1" applyBorder="1"/>
    <xf numFmtId="0" fontId="5" fillId="0" borderId="39" xfId="0" applyFont="1" applyFill="1" applyBorder="1"/>
    <xf numFmtId="0" fontId="21" fillId="0" borderId="39" xfId="0" applyFont="1" applyFill="1" applyBorder="1" applyAlignment="1">
      <alignment horizontal="left" vertical="center" indent="2"/>
    </xf>
    <xf numFmtId="9" fontId="21" fillId="0" borderId="39" xfId="0" applyNumberFormat="1" applyFont="1" applyFill="1" applyBorder="1"/>
    <xf numFmtId="41" fontId="5" fillId="0" borderId="39" xfId="0" applyNumberFormat="1" applyFont="1" applyFill="1" applyBorder="1"/>
    <xf numFmtId="4" fontId="10" fillId="0" borderId="0" xfId="285" applyNumberFormat="1" applyFont="1" applyBorder="1" applyAlignment="1">
      <alignment horizontal="right" vertical="top" wrapText="1"/>
    </xf>
    <xf numFmtId="4" fontId="10" fillId="0" borderId="0" xfId="285" applyNumberFormat="1" applyFont="1" applyBorder="1" applyAlignment="1">
      <alignment horizontal="right" wrapText="1"/>
    </xf>
    <xf numFmtId="0" fontId="17" fillId="0" borderId="0" xfId="286"/>
    <xf numFmtId="10" fontId="161" fillId="0" borderId="39" xfId="0" applyNumberFormat="1" applyFont="1" applyFill="1" applyBorder="1" applyAlignment="1">
      <alignment horizontal="center"/>
    </xf>
    <xf numFmtId="0" fontId="151" fillId="0" borderId="71" xfId="0" applyFont="1" applyBorder="1" applyAlignment="1">
      <alignment horizontal="right" vertical="center" wrapText="1"/>
    </xf>
    <xf numFmtId="0" fontId="151" fillId="0" borderId="0" xfId="0" applyFont="1" applyAlignment="1">
      <alignment vertical="center"/>
    </xf>
    <xf numFmtId="41" fontId="154" fillId="0" borderId="0" xfId="0" applyNumberFormat="1" applyFont="1" applyAlignment="1">
      <alignment vertical="center"/>
    </xf>
    <xf numFmtId="0" fontId="151" fillId="0" borderId="0" xfId="0" applyFont="1" applyFill="1" applyAlignment="1">
      <alignment vertical="center"/>
    </xf>
    <xf numFmtId="0" fontId="3" fillId="0" borderId="0" xfId="0" applyFont="1" applyFill="1" applyBorder="1"/>
    <xf numFmtId="0" fontId="6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55" fillId="0" borderId="0" xfId="0" applyFont="1" applyBorder="1" applyAlignment="1">
      <alignment vertical="center"/>
    </xf>
    <xf numFmtId="0" fontId="155" fillId="0" borderId="0" xfId="0" applyFont="1" applyBorder="1"/>
    <xf numFmtId="37" fontId="20" fillId="0" borderId="0" xfId="17" applyNumberFormat="1" applyFont="1" applyBorder="1"/>
    <xf numFmtId="41" fontId="21" fillId="0" borderId="0" xfId="17" applyNumberFormat="1" applyFont="1"/>
    <xf numFmtId="0" fontId="154" fillId="0" borderId="0" xfId="0" applyFont="1" applyBorder="1" applyAlignment="1">
      <alignment vertical="center"/>
    </xf>
    <xf numFmtId="0" fontId="19" fillId="0" borderId="0" xfId="0" applyFont="1" applyBorder="1"/>
    <xf numFmtId="0" fontId="162" fillId="0" borderId="0" xfId="0" applyFont="1" applyAlignment="1">
      <alignment horizontal="justify" vertical="center"/>
    </xf>
    <xf numFmtId="41" fontId="5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54" fillId="0" borderId="0" xfId="0" applyFont="1" applyBorder="1" applyAlignment="1">
      <alignment horizontal="left" vertical="center"/>
    </xf>
    <xf numFmtId="41" fontId="150" fillId="0" borderId="0" xfId="0" applyNumberFormat="1" applyFont="1" applyBorder="1" applyAlignment="1">
      <alignment horizontal="left" vertical="center"/>
    </xf>
    <xf numFmtId="41" fontId="51" fillId="0" borderId="0" xfId="0" applyNumberFormat="1" applyFont="1" applyFill="1" applyBorder="1"/>
    <xf numFmtId="0" fontId="51" fillId="0" borderId="0" xfId="0" applyFont="1" applyFill="1" applyBorder="1"/>
    <xf numFmtId="0" fontId="4" fillId="0" borderId="42" xfId="0" applyFont="1" applyBorder="1" applyAlignment="1">
      <alignment horizontal="right" wrapText="1"/>
    </xf>
    <xf numFmtId="0" fontId="156" fillId="0" borderId="42" xfId="0" applyFont="1" applyBorder="1" applyAlignment="1">
      <alignment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41" fontId="150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1" fontId="155" fillId="0" borderId="0" xfId="0" applyNumberFormat="1" applyFont="1" applyBorder="1" applyAlignment="1">
      <alignment vertical="center"/>
    </xf>
    <xf numFmtId="41" fontId="47" fillId="0" borderId="0" xfId="0" applyNumberFormat="1" applyFont="1" applyFill="1"/>
    <xf numFmtId="0" fontId="0" fillId="0" borderId="39" xfId="0" applyBorder="1"/>
    <xf numFmtId="41" fontId="0" fillId="0" borderId="39" xfId="0" applyNumberFormat="1" applyBorder="1"/>
    <xf numFmtId="0" fontId="0" fillId="0" borderId="39" xfId="0" applyFont="1" applyBorder="1"/>
    <xf numFmtId="0" fontId="21" fillId="4" borderId="0" xfId="0" applyFont="1" applyFill="1" applyAlignment="1">
      <alignment horizontal="left" vertical="center" indent="2"/>
    </xf>
    <xf numFmtId="0" fontId="163" fillId="0" borderId="0" xfId="0" applyFont="1" applyBorder="1" applyAlignment="1">
      <alignment vertical="center"/>
    </xf>
    <xf numFmtId="0" fontId="26" fillId="0" borderId="0" xfId="286" applyFont="1"/>
    <xf numFmtId="0" fontId="65" fillId="0" borderId="0" xfId="0" applyFont="1" applyBorder="1"/>
    <xf numFmtId="0" fontId="6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3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15" fillId="0" borderId="0" xfId="213" applyFont="1" applyFill="1" applyBorder="1"/>
    <xf numFmtId="0" fontId="166" fillId="0" borderId="0" xfId="0" applyFont="1"/>
    <xf numFmtId="0" fontId="25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/>
    <xf numFmtId="41" fontId="4" fillId="0" borderId="1" xfId="0" applyNumberFormat="1" applyFont="1" applyFill="1" applyBorder="1"/>
    <xf numFmtId="0" fontId="51" fillId="0" borderId="0" xfId="0" applyFont="1" applyFill="1" applyBorder="1" applyAlignment="1">
      <alignment horizontal="center" wrapText="1"/>
    </xf>
    <xf numFmtId="0" fontId="58" fillId="0" borderId="0" xfId="0" applyFont="1" applyFill="1" applyBorder="1"/>
    <xf numFmtId="0" fontId="52" fillId="0" borderId="0" xfId="0" applyFont="1" applyBorder="1"/>
    <xf numFmtId="0" fontId="53" fillId="0" borderId="0" xfId="0" applyFont="1" applyFill="1" applyBorder="1" applyAlignment="1">
      <alignment wrapText="1"/>
    </xf>
    <xf numFmtId="0" fontId="50" fillId="0" borderId="0" xfId="0" applyFont="1" applyFill="1" applyBorder="1"/>
    <xf numFmtId="0" fontId="0" fillId="0" borderId="0" xfId="0" applyFill="1" applyAlignment="1">
      <alignment horizontal="right"/>
    </xf>
    <xf numFmtId="0" fontId="155" fillId="0" borderId="0" xfId="0" applyFont="1" applyFill="1" applyBorder="1" applyAlignment="1">
      <alignment vertical="center"/>
    </xf>
    <xf numFmtId="41" fontId="0" fillId="0" borderId="42" xfId="0" applyNumberFormat="1" applyFill="1" applyBorder="1"/>
    <xf numFmtId="0" fontId="4" fillId="0" borderId="0" xfId="0" applyFont="1" applyAlignment="1">
      <alignment horizontal="center"/>
    </xf>
    <xf numFmtId="41" fontId="5" fillId="0" borderId="0" xfId="0" applyNumberFormat="1" applyFont="1" applyBorder="1" applyAlignment="1">
      <alignment wrapText="1"/>
    </xf>
    <xf numFmtId="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21" fillId="0" borderId="0" xfId="17" applyNumberFormat="1" applyFont="1" applyBorder="1"/>
    <xf numFmtId="0" fontId="158" fillId="0" borderId="0" xfId="0" applyFont="1" applyBorder="1" applyAlignment="1">
      <alignment horizontal="left" vertical="center"/>
    </xf>
    <xf numFmtId="0" fontId="158" fillId="0" borderId="0" xfId="0" applyFont="1" applyBorder="1" applyAlignment="1">
      <alignment horizontal="left" vertical="center" wrapText="1"/>
    </xf>
    <xf numFmtId="0" fontId="157" fillId="0" borderId="0" xfId="0" applyFont="1" applyBorder="1" applyAlignment="1">
      <alignment horizontal="left" vertical="center"/>
    </xf>
    <xf numFmtId="0" fontId="157" fillId="0" borderId="0" xfId="0" applyFont="1" applyBorder="1" applyAlignment="1">
      <alignment horizontal="left" vertical="center" wrapText="1"/>
    </xf>
    <xf numFmtId="0" fontId="158" fillId="0" borderId="0" xfId="0" applyFont="1" applyBorder="1" applyAlignment="1">
      <alignment vertical="center"/>
    </xf>
    <xf numFmtId="0" fontId="162" fillId="0" borderId="0" xfId="0" applyFont="1"/>
    <xf numFmtId="0" fontId="155" fillId="0" borderId="0" xfId="0" applyFont="1" applyAlignment="1">
      <alignment vertical="center"/>
    </xf>
    <xf numFmtId="0" fontId="67" fillId="0" borderId="0" xfId="0" applyFont="1" applyBorder="1"/>
    <xf numFmtId="0" fontId="169" fillId="0" borderId="0" xfId="0" applyFont="1"/>
    <xf numFmtId="0" fontId="155" fillId="0" borderId="0" xfId="0" applyFont="1" applyBorder="1" applyAlignment="1">
      <alignment horizontal="right" vertical="center"/>
    </xf>
    <xf numFmtId="0" fontId="160" fillId="0" borderId="0" xfId="0" applyFont="1" applyFill="1" applyBorder="1" applyAlignment="1">
      <alignment horizontal="center"/>
    </xf>
    <xf numFmtId="0" fontId="15" fillId="0" borderId="0" xfId="0" applyFont="1" applyBorder="1"/>
    <xf numFmtId="0" fontId="155" fillId="0" borderId="0" xfId="0" applyFont="1"/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/>
    <xf numFmtId="185" fontId="15" fillId="0" borderId="0" xfId="213" applyNumberFormat="1" applyFont="1" applyFill="1" applyBorder="1"/>
    <xf numFmtId="165" fontId="15" fillId="0" borderId="0" xfId="213" applyNumberFormat="1" applyFont="1" applyFill="1" applyBorder="1"/>
    <xf numFmtId="0" fontId="167" fillId="0" borderId="0" xfId="0" applyFont="1" applyFill="1" applyBorder="1" applyAlignment="1">
      <alignment vertical="center"/>
    </xf>
    <xf numFmtId="41" fontId="167" fillId="0" borderId="0" xfId="0" applyNumberFormat="1" applyFont="1" applyFill="1" applyBorder="1" applyAlignment="1">
      <alignment horizontal="right" vertical="center"/>
    </xf>
    <xf numFmtId="0" fontId="17" fillId="0" borderId="0" xfId="213" applyFont="1" applyFill="1" applyBorder="1" applyAlignment="1">
      <alignment horizontal="left" vertical="center"/>
    </xf>
    <xf numFmtId="185" fontId="15" fillId="0" borderId="0" xfId="213" applyNumberFormat="1" applyFont="1" applyFill="1" applyBorder="1" applyAlignment="1">
      <alignment horizontal="left" vertical="center"/>
    </xf>
    <xf numFmtId="0" fontId="17" fillId="0" borderId="0" xfId="213" applyFont="1" applyFill="1" applyBorder="1" applyAlignment="1">
      <alignment horizontal="left" vertical="center" indent="1"/>
    </xf>
    <xf numFmtId="185" fontId="17" fillId="0" borderId="0" xfId="213" applyNumberFormat="1" applyFont="1" applyFill="1" applyBorder="1" applyAlignment="1"/>
    <xf numFmtId="41" fontId="19" fillId="0" borderId="0" xfId="0" applyNumberFormat="1" applyFont="1" applyFill="1" applyBorder="1"/>
    <xf numFmtId="41" fontId="157" fillId="0" borderId="0" xfId="0" applyNumberFormat="1" applyFont="1" applyBorder="1" applyAlignment="1">
      <alignment horizontal="left" vertical="center"/>
    </xf>
    <xf numFmtId="0" fontId="156" fillId="0" borderId="0" xfId="0" applyFont="1" applyBorder="1" applyAlignment="1">
      <alignment horizontal="left" vertical="center"/>
    </xf>
    <xf numFmtId="0" fontId="156" fillId="0" borderId="0" xfId="0" applyFont="1" applyBorder="1" applyAlignment="1">
      <alignment horizontal="right" vertical="center"/>
    </xf>
    <xf numFmtId="0" fontId="156" fillId="0" borderId="0" xfId="0" applyFont="1" applyBorder="1" applyAlignment="1">
      <alignment horizontal="right" vertical="center" wrapText="1"/>
    </xf>
    <xf numFmtId="0" fontId="154" fillId="0" borderId="0" xfId="0" applyFont="1" applyBorder="1" applyAlignment="1"/>
    <xf numFmtId="41" fontId="155" fillId="0" borderId="0" xfId="0" applyNumberFormat="1" applyFont="1" applyBorder="1" applyAlignment="1">
      <alignment horizontal="right" vertical="center"/>
    </xf>
    <xf numFmtId="0" fontId="155" fillId="0" borderId="0" xfId="0" applyFont="1" applyBorder="1" applyAlignment="1">
      <alignment vertical="center" wrapText="1"/>
    </xf>
    <xf numFmtId="41" fontId="47" fillId="0" borderId="0" xfId="0" applyNumberFormat="1" applyFont="1" applyBorder="1"/>
    <xf numFmtId="0" fontId="151" fillId="0" borderId="0" xfId="0" applyFont="1" applyBorder="1" applyAlignment="1">
      <alignment vertical="center"/>
    </xf>
    <xf numFmtId="0" fontId="158" fillId="0" borderId="0" xfId="0" applyFont="1" applyAlignment="1">
      <alignment horizontal="left" vertical="center" wrapText="1"/>
    </xf>
    <xf numFmtId="0" fontId="157" fillId="0" borderId="0" xfId="0" applyFont="1" applyAlignment="1">
      <alignment horizontal="left" vertical="center" wrapText="1"/>
    </xf>
    <xf numFmtId="0" fontId="158" fillId="0" borderId="0" xfId="0" applyFont="1" applyAlignment="1">
      <alignment vertical="center" wrapText="1"/>
    </xf>
    <xf numFmtId="0" fontId="170" fillId="0" borderId="0" xfId="0" applyFont="1"/>
    <xf numFmtId="0" fontId="3" fillId="0" borderId="0" xfId="0" applyFont="1" applyBorder="1" applyAlignment="1">
      <alignment horizontal="center"/>
    </xf>
    <xf numFmtId="0" fontId="67" fillId="0" borderId="0" xfId="0" applyFont="1" applyBorder="1" applyAlignment="1">
      <alignment wrapText="1"/>
    </xf>
    <xf numFmtId="0" fontId="150" fillId="0" borderId="0" xfId="0" applyFont="1" applyAlignment="1">
      <alignment vertical="center"/>
    </xf>
    <xf numFmtId="0" fontId="155" fillId="0" borderId="0" xfId="0" applyFont="1" applyBorder="1" applyAlignment="1">
      <alignment horizontal="right" vertical="center" wrapText="1"/>
    </xf>
    <xf numFmtId="0" fontId="150" fillId="0" borderId="0" xfId="0" applyFont="1" applyBorder="1" applyAlignment="1">
      <alignment horizontal="right" vertical="center"/>
    </xf>
    <xf numFmtId="0" fontId="171" fillId="0" borderId="0" xfId="0" applyFont="1" applyAlignment="1">
      <alignment vertical="center"/>
    </xf>
    <xf numFmtId="0" fontId="47" fillId="0" borderId="0" xfId="0" applyFont="1" applyBorder="1"/>
    <xf numFmtId="15" fontId="172" fillId="66" borderId="65" xfId="0" applyNumberFormat="1" applyFont="1" applyFill="1" applyBorder="1" applyAlignment="1">
      <alignment horizontal="center" vertical="center" wrapText="1"/>
    </xf>
    <xf numFmtId="15" fontId="172" fillId="67" borderId="65" xfId="0" applyNumberFormat="1" applyFont="1" applyFill="1" applyBorder="1" applyAlignment="1">
      <alignment horizontal="center" vertical="center" wrapText="1"/>
    </xf>
    <xf numFmtId="0" fontId="173" fillId="0" borderId="0" xfId="0" applyFont="1" applyAlignment="1">
      <alignment horizontal="left"/>
    </xf>
    <xf numFmtId="41" fontId="4" fillId="0" borderId="43" xfId="0" applyNumberFormat="1" applyFont="1" applyBorder="1"/>
    <xf numFmtId="41" fontId="5" fillId="68" borderId="0" xfId="0" applyNumberFormat="1" applyFont="1" applyFill="1"/>
    <xf numFmtId="0" fontId="5" fillId="69" borderId="0" xfId="0" applyFont="1" applyFill="1"/>
    <xf numFmtId="0" fontId="5" fillId="69" borderId="0" xfId="0" applyFont="1" applyFill="1" applyAlignment="1">
      <alignment horizontal="center"/>
    </xf>
    <xf numFmtId="14" fontId="4" fillId="69" borderId="0" xfId="0" applyNumberFormat="1" applyFont="1" applyFill="1" applyAlignment="1">
      <alignment horizontal="center"/>
    </xf>
    <xf numFmtId="0" fontId="25" fillId="69" borderId="0" xfId="0" applyFont="1" applyFill="1"/>
    <xf numFmtId="0" fontId="25" fillId="69" borderId="0" xfId="0" applyFont="1" applyFill="1" applyAlignment="1">
      <alignment horizontal="center"/>
    </xf>
    <xf numFmtId="0" fontId="147" fillId="69" borderId="0" xfId="0" applyFont="1" applyFill="1" applyAlignment="1">
      <alignment horizontal="center"/>
    </xf>
    <xf numFmtId="0" fontId="0" fillId="0" borderId="1" xfId="0" applyBorder="1"/>
    <xf numFmtId="41" fontId="5" fillId="66" borderId="0" xfId="0" applyNumberFormat="1" applyFont="1" applyFill="1"/>
    <xf numFmtId="0" fontId="5" fillId="66" borderId="0" xfId="0" applyFont="1" applyFill="1"/>
    <xf numFmtId="41" fontId="5" fillId="38" borderId="0" xfId="0" applyNumberFormat="1" applyFont="1" applyFill="1"/>
    <xf numFmtId="41" fontId="5" fillId="0" borderId="38" xfId="0" applyNumberFormat="1" applyFont="1" applyBorder="1"/>
    <xf numFmtId="0" fontId="25" fillId="69" borderId="0" xfId="0" applyFont="1" applyFill="1" applyAlignment="1">
      <alignment horizontal="center" wrapText="1"/>
    </xf>
    <xf numFmtId="0" fontId="147" fillId="69" borderId="0" xfId="0" applyFont="1" applyFill="1" applyAlignment="1">
      <alignment horizontal="center" wrapText="1"/>
    </xf>
    <xf numFmtId="0" fontId="147" fillId="0" borderId="0" xfId="0" applyFont="1" applyFill="1" applyAlignment="1">
      <alignment horizontal="center" wrapText="1"/>
    </xf>
    <xf numFmtId="0" fontId="173" fillId="0" borderId="0" xfId="0" applyFont="1" applyAlignment="1">
      <alignment horizontal="center"/>
    </xf>
    <xf numFmtId="0" fontId="19" fillId="0" borderId="1" xfId="0" applyFont="1" applyBorder="1"/>
    <xf numFmtId="0" fontId="149" fillId="69" borderId="0" xfId="0" applyFont="1" applyFill="1"/>
    <xf numFmtId="41" fontId="5" fillId="0" borderId="0" xfId="0" applyNumberFormat="1" applyFont="1" applyAlignment="1">
      <alignment horizontal="right"/>
    </xf>
    <xf numFmtId="41" fontId="5" fillId="0" borderId="84" xfId="0" applyNumberFormat="1" applyFont="1" applyBorder="1"/>
    <xf numFmtId="0" fontId="0" fillId="70" borderId="39" xfId="0" applyFill="1" applyBorder="1" applyAlignment="1"/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/>
    <xf numFmtId="16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89" fontId="0" fillId="0" borderId="17" xfId="0" applyNumberFormat="1" applyFont="1" applyBorder="1" applyAlignment="1">
      <alignment horizontal="right"/>
    </xf>
    <xf numFmtId="189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/>
    <xf numFmtId="0" fontId="0" fillId="0" borderId="20" xfId="0" applyFont="1" applyBorder="1" applyAlignment="1"/>
    <xf numFmtId="164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173" fillId="0" borderId="0" xfId="0" applyFont="1" applyAlignment="1">
      <alignment vertical="center"/>
    </xf>
    <xf numFmtId="0" fontId="151" fillId="0" borderId="0" xfId="0" applyFont="1" applyBorder="1" applyAlignment="1">
      <alignment vertical="center"/>
    </xf>
    <xf numFmtId="0" fontId="151" fillId="0" borderId="0" xfId="0" applyFont="1" applyBorder="1" applyAlignment="1">
      <alignment vertical="center"/>
    </xf>
    <xf numFmtId="41" fontId="50" fillId="0" borderId="0" xfId="0" applyNumberFormat="1" applyFont="1" applyBorder="1"/>
    <xf numFmtId="0" fontId="174" fillId="0" borderId="0" xfId="0" applyFont="1"/>
    <xf numFmtId="0" fontId="151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150" fillId="0" borderId="0" xfId="0" applyFont="1"/>
    <xf numFmtId="41" fontId="5" fillId="0" borderId="0" xfId="0" applyNumberFormat="1" applyFont="1" applyBorder="1" applyAlignment="1">
      <alignment horizontal="center" wrapText="1"/>
    </xf>
    <xf numFmtId="41" fontId="0" fillId="0" borderId="1" xfId="0" applyNumberFormat="1" applyFont="1" applyBorder="1"/>
    <xf numFmtId="10" fontId="0" fillId="0" borderId="0" xfId="0" applyNumberFormat="1" applyFo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1" fontId="154" fillId="0" borderId="0" xfId="0" applyNumberFormat="1" applyFont="1" applyBorder="1" applyAlignment="1">
      <alignment vertical="center"/>
    </xf>
    <xf numFmtId="190" fontId="3" fillId="0" borderId="1" xfId="0" applyNumberFormat="1" applyFont="1" applyBorder="1"/>
    <xf numFmtId="190" fontId="0" fillId="0" borderId="0" xfId="0" applyNumberFormat="1"/>
    <xf numFmtId="190" fontId="3" fillId="0" borderId="0" xfId="0" applyNumberFormat="1" applyFont="1" applyBorder="1"/>
    <xf numFmtId="0" fontId="2" fillId="0" borderId="0" xfId="287"/>
    <xf numFmtId="4" fontId="10" fillId="0" borderId="0" xfId="333" applyNumberFormat="1" applyFont="1" applyBorder="1" applyAlignment="1">
      <alignment horizontal="right" vertical="top" wrapText="1"/>
    </xf>
    <xf numFmtId="4" fontId="4" fillId="0" borderId="0" xfId="0" applyNumberFormat="1" applyFont="1" applyBorder="1"/>
    <xf numFmtId="0" fontId="2" fillId="0" borderId="0" xfId="287" applyBorder="1"/>
    <xf numFmtId="2" fontId="10" fillId="0" borderId="0" xfId="333" applyNumberFormat="1" applyFont="1" applyBorder="1" applyAlignment="1">
      <alignment horizontal="right" vertical="top" wrapText="1"/>
    </xf>
    <xf numFmtId="41" fontId="19" fillId="0" borderId="0" xfId="0" applyNumberFormat="1" applyFont="1" applyBorder="1" applyAlignment="1">
      <alignment wrapText="1"/>
    </xf>
    <xf numFmtId="190" fontId="0" fillId="0" borderId="0" xfId="0" applyNumberFormat="1" applyFont="1" applyBorder="1"/>
    <xf numFmtId="43" fontId="0" fillId="0" borderId="0" xfId="0" applyNumberFormat="1" applyFont="1"/>
    <xf numFmtId="41" fontId="25" fillId="0" borderId="0" xfId="0" applyNumberFormat="1" applyFont="1" applyFill="1" applyBorder="1"/>
    <xf numFmtId="41" fontId="3" fillId="0" borderId="1" xfId="0" applyNumberFormat="1" applyFont="1" applyFill="1" applyBorder="1"/>
    <xf numFmtId="41" fontId="47" fillId="0" borderId="0" xfId="0" applyNumberFormat="1" applyFont="1" applyFill="1" applyAlignment="1">
      <alignment horizontal="left"/>
    </xf>
    <xf numFmtId="186" fontId="15" fillId="0" borderId="0" xfId="0" applyNumberFormat="1" applyFont="1"/>
    <xf numFmtId="0" fontId="32" fillId="0" borderId="0" xfId="294" applyBorder="1"/>
    <xf numFmtId="0" fontId="151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21" fillId="0" borderId="0" xfId="17" applyNumberFormat="1" applyFont="1" applyBorder="1"/>
    <xf numFmtId="37" fontId="21" fillId="0" borderId="0" xfId="17" applyNumberFormat="1" applyFont="1" applyAlignment="1">
      <alignment wrapText="1"/>
    </xf>
    <xf numFmtId="37" fontId="20" fillId="0" borderId="0" xfId="17" applyNumberFormat="1" applyFont="1" applyAlignment="1">
      <alignment wrapText="1"/>
    </xf>
    <xf numFmtId="37" fontId="25" fillId="0" borderId="0" xfId="17" applyNumberFormat="1" applyFont="1" applyAlignment="1">
      <alignment wrapText="1"/>
    </xf>
    <xf numFmtId="0" fontId="4" fillId="0" borderId="43" xfId="0" applyFont="1" applyFill="1" applyBorder="1"/>
    <xf numFmtId="0" fontId="5" fillId="0" borderId="43" xfId="0" applyFont="1" applyBorder="1"/>
    <xf numFmtId="41" fontId="4" fillId="0" borderId="43" xfId="0" applyNumberFormat="1" applyFont="1" applyFill="1" applyBorder="1"/>
    <xf numFmtId="41" fontId="5" fillId="0" borderId="39" xfId="0" applyNumberFormat="1" applyFont="1" applyBorder="1"/>
    <xf numFmtId="0" fontId="33" fillId="0" borderId="39" xfId="0" applyNumberFormat="1" applyFont="1" applyFill="1" applyBorder="1" applyAlignment="1">
      <alignment horizontal="center" vertical="center"/>
    </xf>
    <xf numFmtId="14" fontId="20" fillId="0" borderId="39" xfId="0" applyNumberFormat="1" applyFont="1" applyFill="1" applyBorder="1" applyAlignment="1">
      <alignment horizontal="center" wrapText="1"/>
    </xf>
    <xf numFmtId="41" fontId="4" fillId="0" borderId="39" xfId="0" applyNumberFormat="1" applyFont="1" applyBorder="1"/>
    <xf numFmtId="10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/>
    </xf>
    <xf numFmtId="190" fontId="0" fillId="0" borderId="0" xfId="0" applyNumberFormat="1" applyFont="1"/>
    <xf numFmtId="190" fontId="0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62" fillId="0" borderId="0" xfId="0" applyFont="1" applyAlignment="1">
      <alignment vertical="center"/>
    </xf>
    <xf numFmtId="0" fontId="162" fillId="0" borderId="0" xfId="0" applyFont="1" applyAlignment="1">
      <alignment horizontal="center" vertical="center"/>
    </xf>
    <xf numFmtId="0" fontId="162" fillId="0" borderId="42" xfId="0" applyFont="1" applyBorder="1" applyAlignment="1">
      <alignment horizontal="center" vertical="center"/>
    </xf>
    <xf numFmtId="0" fontId="162" fillId="0" borderId="0" xfId="0" applyFont="1" applyAlignment="1">
      <alignment horizontal="center" vertical="center"/>
    </xf>
    <xf numFmtId="0" fontId="176" fillId="0" borderId="0" xfId="0" applyFont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0" fontId="162" fillId="0" borderId="0" xfId="0" applyFont="1" applyAlignment="1">
      <alignment vertical="center"/>
    </xf>
    <xf numFmtId="0" fontId="4" fillId="0" borderId="39" xfId="0" applyFont="1" applyBorder="1"/>
    <xf numFmtId="14" fontId="20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/>
    </xf>
    <xf numFmtId="37" fontId="20" fillId="0" borderId="39" xfId="17" applyNumberFormat="1" applyFont="1" applyBorder="1" applyAlignment="1">
      <alignment horizontal="center" wrapText="1"/>
    </xf>
    <xf numFmtId="37" fontId="20" fillId="0" borderId="0" xfId="17" applyNumberFormat="1" applyFont="1" applyBorder="1" applyAlignment="1">
      <alignment horizontal="center" wrapText="1"/>
    </xf>
    <xf numFmtId="0" fontId="177" fillId="0" borderId="39" xfId="0" applyFont="1" applyBorder="1"/>
    <xf numFmtId="0" fontId="177" fillId="0" borderId="0" xfId="0" applyFont="1" applyBorder="1"/>
    <xf numFmtId="0" fontId="5" fillId="0" borderId="39" xfId="0" applyFont="1" applyBorder="1" applyAlignment="1">
      <alignment wrapText="1"/>
    </xf>
    <xf numFmtId="0" fontId="4" fillId="0" borderId="39" xfId="0" applyFont="1" applyFill="1" applyBorder="1"/>
    <xf numFmtId="41" fontId="4" fillId="0" borderId="39" xfId="0" applyNumberFormat="1" applyFont="1" applyFill="1" applyBorder="1"/>
    <xf numFmtId="0" fontId="175" fillId="0" borderId="0" xfId="0" applyFont="1" applyAlignment="1"/>
    <xf numFmtId="0" fontId="177" fillId="0" borderId="39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5" fillId="0" borderId="43" xfId="0" applyFont="1" applyBorder="1" applyAlignment="1"/>
    <xf numFmtId="0" fontId="4" fillId="0" borderId="0" xfId="0" applyFont="1" applyFill="1" applyBorder="1" applyAlignment="1"/>
    <xf numFmtId="0" fontId="5" fillId="0" borderId="39" xfId="0" applyFont="1" applyBorder="1" applyAlignment="1"/>
    <xf numFmtId="0" fontId="4" fillId="0" borderId="1" xfId="0" applyFont="1" applyBorder="1" applyAlignment="1"/>
    <xf numFmtId="0" fontId="178" fillId="0" borderId="0" xfId="0" applyFont="1" applyAlignment="1"/>
    <xf numFmtId="0" fontId="179" fillId="0" borderId="0" xfId="0" applyFont="1"/>
    <xf numFmtId="37" fontId="21" fillId="0" borderId="39" xfId="17" applyNumberFormat="1" applyFont="1" applyBorder="1"/>
    <xf numFmtId="37" fontId="21" fillId="0" borderId="84" xfId="17" applyNumberFormat="1" applyFont="1" applyBorder="1"/>
    <xf numFmtId="41" fontId="21" fillId="0" borderId="39" xfId="17" applyNumberFormat="1" applyFont="1" applyBorder="1"/>
    <xf numFmtId="165" fontId="5" fillId="0" borderId="0" xfId="0" applyNumberFormat="1" applyFont="1"/>
    <xf numFmtId="165" fontId="5" fillId="0" borderId="0" xfId="0" applyNumberFormat="1" applyFont="1" applyBorder="1"/>
    <xf numFmtId="165" fontId="5" fillId="0" borderId="39" xfId="0" applyNumberFormat="1" applyFont="1" applyBorder="1"/>
    <xf numFmtId="165" fontId="4" fillId="0" borderId="39" xfId="0" applyNumberFormat="1" applyFont="1" applyBorder="1"/>
    <xf numFmtId="165" fontId="4" fillId="0" borderId="39" xfId="0" applyNumberFormat="1" applyFont="1" applyFill="1" applyBorder="1"/>
    <xf numFmtId="165" fontId="5" fillId="0" borderId="0" xfId="0" applyNumberFormat="1" applyFont="1" applyFill="1"/>
    <xf numFmtId="165" fontId="21" fillId="0" borderId="0" xfId="17" applyNumberFormat="1" applyFont="1" applyBorder="1"/>
    <xf numFmtId="165" fontId="21" fillId="0" borderId="0" xfId="17" applyNumberFormat="1" applyFont="1"/>
    <xf numFmtId="165" fontId="154" fillId="0" borderId="0" xfId="0" applyNumberFormat="1" applyFont="1" applyBorder="1" applyAlignment="1">
      <alignment vertical="center"/>
    </xf>
    <xf numFmtId="165" fontId="21" fillId="0" borderId="39" xfId="17" applyNumberFormat="1" applyFont="1" applyBorder="1"/>
    <xf numFmtId="165" fontId="20" fillId="0" borderId="84" xfId="17" applyNumberFormat="1" applyFont="1" applyBorder="1"/>
    <xf numFmtId="165" fontId="21" fillId="0" borderId="84" xfId="17" applyNumberFormat="1" applyFont="1" applyBorder="1"/>
    <xf numFmtId="185" fontId="21" fillId="0" borderId="0" xfId="17" applyNumberFormat="1" applyFont="1" applyBorder="1"/>
    <xf numFmtId="37" fontId="21" fillId="0" borderId="0" xfId="17" applyNumberFormat="1" applyFont="1" applyAlignment="1">
      <alignment horizontal="right"/>
    </xf>
    <xf numFmtId="37" fontId="21" fillId="0" borderId="0" xfId="17" applyNumberFormat="1" applyFont="1" applyFill="1" applyAlignment="1">
      <alignment horizontal="right"/>
    </xf>
    <xf numFmtId="165" fontId="21" fillId="0" borderId="0" xfId="17" applyNumberFormat="1" applyFont="1" applyFill="1" applyAlignment="1">
      <alignment horizontal="right"/>
    </xf>
    <xf numFmtId="37" fontId="21" fillId="0" borderId="39" xfId="17" applyNumberFormat="1" applyFont="1" applyFill="1" applyBorder="1" applyAlignment="1">
      <alignment horizontal="right"/>
    </xf>
    <xf numFmtId="37" fontId="20" fillId="0" borderId="0" xfId="17" applyNumberFormat="1" applyFont="1" applyBorder="1" applyAlignment="1">
      <alignment horizontal="right"/>
    </xf>
    <xf numFmtId="165" fontId="21" fillId="0" borderId="0" xfId="17" applyNumberFormat="1" applyFont="1" applyAlignment="1">
      <alignment horizontal="right"/>
    </xf>
    <xf numFmtId="37" fontId="20" fillId="0" borderId="84" xfId="17" applyNumberFormat="1" applyFont="1" applyBorder="1" applyAlignment="1">
      <alignment horizontal="right"/>
    </xf>
    <xf numFmtId="41" fontId="21" fillId="0" borderId="0" xfId="17" applyNumberFormat="1" applyFont="1" applyAlignment="1">
      <alignment horizontal="right"/>
    </xf>
    <xf numFmtId="165" fontId="20" fillId="0" borderId="84" xfId="17" applyNumberFormat="1" applyFont="1" applyBorder="1" applyAlignment="1">
      <alignment horizontal="right"/>
    </xf>
    <xf numFmtId="165" fontId="20" fillId="0" borderId="0" xfId="17" applyNumberFormat="1" applyFont="1" applyAlignment="1">
      <alignment horizontal="right"/>
    </xf>
    <xf numFmtId="37" fontId="20" fillId="0" borderId="1" xfId="17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0" fontId="162" fillId="0" borderId="42" xfId="0" applyFont="1" applyBorder="1" applyAlignment="1">
      <alignment horizontal="center" vertical="center"/>
    </xf>
    <xf numFmtId="165" fontId="154" fillId="0" borderId="39" xfId="0" applyNumberFormat="1" applyFont="1" applyBorder="1" applyAlignment="1">
      <alignment vertical="center"/>
    </xf>
    <xf numFmtId="165" fontId="21" fillId="0" borderId="39" xfId="17" applyNumberFormat="1" applyFont="1" applyFill="1" applyBorder="1" applyAlignment="1">
      <alignment horizontal="right"/>
    </xf>
    <xf numFmtId="190" fontId="0" fillId="0" borderId="43" xfId="0" applyNumberFormat="1" applyFont="1" applyBorder="1"/>
    <xf numFmtId="9" fontId="51" fillId="0" borderId="0" xfId="0" applyNumberFormat="1" applyFont="1" applyAlignment="1">
      <alignment horizontal="center"/>
    </xf>
    <xf numFmtId="0" fontId="50" fillId="0" borderId="39" xfId="0" applyFont="1" applyBorder="1" applyAlignment="1">
      <alignment horizontal="center" wrapText="1"/>
    </xf>
    <xf numFmtId="41" fontId="4" fillId="0" borderId="0" xfId="0" applyNumberFormat="1" applyFont="1" applyAlignment="1">
      <alignment wrapText="1"/>
    </xf>
    <xf numFmtId="0" fontId="180" fillId="0" borderId="0" xfId="0" applyFont="1" applyBorder="1" applyAlignment="1">
      <alignment vertical="center"/>
    </xf>
    <xf numFmtId="0" fontId="181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/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151" fillId="0" borderId="0" xfId="0" applyNumberFormat="1" applyFont="1" applyAlignment="1">
      <alignment vertical="center"/>
    </xf>
    <xf numFmtId="0" fontId="150" fillId="0" borderId="41" xfId="0" applyFont="1" applyBorder="1" applyAlignment="1">
      <alignment vertical="center"/>
    </xf>
    <xf numFmtId="41" fontId="150" fillId="0" borderId="41" xfId="0" applyNumberFormat="1" applyFont="1" applyBorder="1" applyAlignment="1">
      <alignment vertical="center"/>
    </xf>
    <xf numFmtId="41" fontId="150" fillId="0" borderId="0" xfId="0" applyNumberFormat="1" applyFont="1" applyAlignment="1">
      <alignment vertical="center"/>
    </xf>
    <xf numFmtId="0" fontId="151" fillId="0" borderId="42" xfId="0" applyFont="1" applyBorder="1" applyAlignment="1">
      <alignment vertical="center"/>
    </xf>
    <xf numFmtId="41" fontId="150" fillId="0" borderId="42" xfId="0" applyNumberFormat="1" applyFont="1" applyBorder="1" applyAlignment="1">
      <alignment vertical="center"/>
    </xf>
    <xf numFmtId="0" fontId="150" fillId="0" borderId="83" xfId="0" applyFont="1" applyBorder="1" applyAlignment="1">
      <alignment vertical="center"/>
    </xf>
    <xf numFmtId="41" fontId="150" fillId="0" borderId="83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41" fontId="67" fillId="0" borderId="0" xfId="0" applyNumberFormat="1" applyFont="1" applyBorder="1"/>
    <xf numFmtId="41" fontId="0" fillId="0" borderId="0" xfId="0" applyNumberFormat="1" applyFont="1" applyAlignment="1">
      <alignment horizontal="center"/>
    </xf>
    <xf numFmtId="0" fontId="154" fillId="0" borderId="0" xfId="0" applyFont="1" applyAlignment="1">
      <alignment vertical="center"/>
    </xf>
    <xf numFmtId="0" fontId="25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21" fillId="0" borderId="0" xfId="0" applyFont="1" applyBorder="1"/>
    <xf numFmtId="43" fontId="21" fillId="0" borderId="0" xfId="334" applyFont="1" applyBorder="1" applyAlignment="1">
      <alignment horizontal="right"/>
    </xf>
    <xf numFmtId="0" fontId="20" fillId="0" borderId="85" xfId="0" applyFont="1" applyBorder="1"/>
    <xf numFmtId="165" fontId="20" fillId="0" borderId="85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3" fillId="0" borderId="0" xfId="0" applyNumberFormat="1" applyFont="1" applyFill="1" applyBorder="1"/>
    <xf numFmtId="165" fontId="20" fillId="0" borderId="1" xfId="17" applyNumberFormat="1" applyFont="1" applyBorder="1"/>
    <xf numFmtId="41" fontId="21" fillId="0" borderId="0" xfId="17" applyNumberFormat="1" applyFont="1" applyFill="1" applyAlignment="1">
      <alignment horizontal="right"/>
    </xf>
    <xf numFmtId="41" fontId="3" fillId="0" borderId="0" xfId="0" applyNumberFormat="1" applyFont="1" applyFill="1" applyBorder="1" applyAlignment="1"/>
    <xf numFmtId="0" fontId="162" fillId="0" borderId="0" xfId="0" applyFont="1" applyAlignment="1">
      <alignment vertical="center"/>
    </xf>
    <xf numFmtId="0" fontId="0" fillId="0" borderId="83" xfId="0" applyFill="1" applyBorder="1"/>
    <xf numFmtId="0" fontId="173" fillId="0" borderId="0" xfId="0" applyFont="1" applyAlignment="1">
      <alignment horizontal="center"/>
    </xf>
    <xf numFmtId="0" fontId="20" fillId="2" borderId="2" xfId="4" applyNumberFormat="1" applyFont="1" applyFill="1" applyBorder="1" applyAlignment="1">
      <alignment vertical="center"/>
    </xf>
    <xf numFmtId="0" fontId="20" fillId="2" borderId="4" xfId="4" applyNumberFormat="1" applyFont="1" applyFill="1" applyBorder="1" applyAlignment="1">
      <alignment vertical="center"/>
    </xf>
    <xf numFmtId="0" fontId="20" fillId="2" borderId="3" xfId="4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vertical="center"/>
    </xf>
    <xf numFmtId="0" fontId="7" fillId="2" borderId="4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center" vertical="center"/>
    </xf>
    <xf numFmtId="0" fontId="20" fillId="2" borderId="2" xfId="5" applyNumberFormat="1" applyFont="1" applyFill="1" applyBorder="1" applyAlignment="1">
      <alignment vertical="center"/>
    </xf>
    <xf numFmtId="0" fontId="20" fillId="2" borderId="4" xfId="5" applyNumberFormat="1" applyFont="1" applyFill="1" applyBorder="1" applyAlignment="1">
      <alignment vertical="center"/>
    </xf>
    <xf numFmtId="0" fontId="20" fillId="2" borderId="3" xfId="5" applyNumberFormat="1" applyFont="1" applyFill="1" applyBorder="1" applyAlignment="1">
      <alignment horizontal="center" vertical="center"/>
    </xf>
    <xf numFmtId="0" fontId="28" fillId="5" borderId="3" xfId="12" applyNumberFormat="1" applyFont="1" applyFill="1" applyBorder="1" applyAlignment="1">
      <alignment vertical="top"/>
    </xf>
    <xf numFmtId="0" fontId="28" fillId="5" borderId="2" xfId="12" applyNumberFormat="1" applyFont="1" applyFill="1" applyBorder="1" applyAlignment="1">
      <alignment vertical="top"/>
    </xf>
    <xf numFmtId="0" fontId="28" fillId="5" borderId="4" xfId="12" applyNumberFormat="1" applyFont="1" applyFill="1" applyBorder="1" applyAlignment="1">
      <alignment vertical="top"/>
    </xf>
    <xf numFmtId="0" fontId="7" fillId="2" borderId="3" xfId="12" applyNumberFormat="1" applyFont="1" applyFill="1" applyBorder="1" applyAlignment="1">
      <alignment horizontal="center" vertical="center"/>
    </xf>
    <xf numFmtId="0" fontId="7" fillId="2" borderId="2" xfId="12" applyNumberFormat="1" applyFont="1" applyFill="1" applyBorder="1" applyAlignment="1">
      <alignment vertical="center"/>
    </xf>
    <xf numFmtId="0" fontId="7" fillId="2" borderId="4" xfId="12" applyNumberFormat="1" applyFont="1" applyFill="1" applyBorder="1" applyAlignment="1">
      <alignment vertical="center"/>
    </xf>
    <xf numFmtId="0" fontId="7" fillId="2" borderId="2" xfId="12" applyNumberFormat="1" applyFont="1" applyFill="1" applyBorder="1" applyAlignment="1">
      <alignment horizontal="center" vertical="center"/>
    </xf>
    <xf numFmtId="0" fontId="7" fillId="2" borderId="4" xfId="12" applyNumberFormat="1" applyFont="1" applyFill="1" applyBorder="1" applyAlignment="1">
      <alignment horizontal="center" vertical="center"/>
    </xf>
    <xf numFmtId="0" fontId="9" fillId="2" borderId="2" xfId="12" applyNumberFormat="1" applyFont="1" applyFill="1" applyBorder="1" applyAlignment="1">
      <alignment vertical="center"/>
    </xf>
    <xf numFmtId="0" fontId="9" fillId="2" borderId="4" xfId="12" applyNumberFormat="1" applyFont="1" applyFill="1" applyBorder="1" applyAlignment="1">
      <alignment vertical="center"/>
    </xf>
    <xf numFmtId="0" fontId="9" fillId="2" borderId="2" xfId="12" applyNumberFormat="1" applyFont="1" applyFill="1" applyBorder="1" applyAlignment="1">
      <alignment horizontal="center" vertical="center"/>
    </xf>
    <xf numFmtId="0" fontId="9" fillId="2" borderId="4" xfId="12" applyNumberFormat="1" applyFont="1" applyFill="1" applyBorder="1" applyAlignment="1">
      <alignment horizontal="center" vertical="center"/>
    </xf>
    <xf numFmtId="0" fontId="9" fillId="2" borderId="3" xfId="12" applyNumberFormat="1" applyFont="1" applyFill="1" applyBorder="1" applyAlignment="1">
      <alignment horizontal="center" vertical="center"/>
    </xf>
    <xf numFmtId="0" fontId="7" fillId="2" borderId="2" xfId="273" applyNumberFormat="1" applyFont="1" applyFill="1" applyBorder="1" applyAlignment="1">
      <alignment horizontal="center" vertical="center"/>
    </xf>
    <xf numFmtId="0" fontId="7" fillId="2" borderId="4" xfId="273" applyNumberFormat="1" applyFont="1" applyFill="1" applyBorder="1" applyAlignment="1">
      <alignment horizontal="center" vertical="center"/>
    </xf>
    <xf numFmtId="0" fontId="28" fillId="5" borderId="2" xfId="6" applyNumberFormat="1" applyFont="1" applyFill="1" applyBorder="1" applyAlignment="1">
      <alignment vertical="top"/>
    </xf>
    <xf numFmtId="0" fontId="28" fillId="5" borderId="4" xfId="6" applyNumberFormat="1" applyFont="1" applyFill="1" applyBorder="1" applyAlignment="1">
      <alignment vertical="top"/>
    </xf>
    <xf numFmtId="0" fontId="28" fillId="5" borderId="3" xfId="6" applyNumberFormat="1" applyFont="1" applyFill="1" applyBorder="1" applyAlignment="1">
      <alignment vertical="top"/>
    </xf>
    <xf numFmtId="0" fontId="9" fillId="2" borderId="3" xfId="10" applyNumberFormat="1" applyFont="1" applyFill="1" applyBorder="1" applyAlignment="1">
      <alignment horizontal="center" vertical="center"/>
    </xf>
    <xf numFmtId="0" fontId="9" fillId="2" borderId="2" xfId="10" applyNumberFormat="1" applyFont="1" applyFill="1" applyBorder="1" applyAlignment="1">
      <alignment vertical="center"/>
    </xf>
    <xf numFmtId="0" fontId="9" fillId="2" borderId="4" xfId="10" applyNumberFormat="1" applyFont="1" applyFill="1" applyBorder="1" applyAlignment="1">
      <alignment vertical="center"/>
    </xf>
    <xf numFmtId="0" fontId="9" fillId="2" borderId="2" xfId="10" applyNumberFormat="1" applyFont="1" applyFill="1" applyBorder="1" applyAlignment="1">
      <alignment horizontal="center" vertical="center"/>
    </xf>
    <xf numFmtId="0" fontId="9" fillId="2" borderId="4" xfId="10" applyNumberFormat="1" applyFont="1" applyFill="1" applyBorder="1" applyAlignment="1">
      <alignment horizontal="center" vertical="center"/>
    </xf>
    <xf numFmtId="0" fontId="7" fillId="2" borderId="3" xfId="10" applyNumberFormat="1" applyFont="1" applyFill="1" applyBorder="1" applyAlignment="1">
      <alignment horizontal="center" vertical="center"/>
    </xf>
    <xf numFmtId="0" fontId="7" fillId="2" borderId="2" xfId="10" applyNumberFormat="1" applyFont="1" applyFill="1" applyBorder="1" applyAlignment="1">
      <alignment vertical="center"/>
    </xf>
    <xf numFmtId="0" fontId="7" fillId="2" borderId="4" xfId="10" applyNumberFormat="1" applyFont="1" applyFill="1" applyBorder="1" applyAlignment="1">
      <alignment vertical="center"/>
    </xf>
    <xf numFmtId="0" fontId="7" fillId="2" borderId="2" xfId="10" applyNumberFormat="1" applyFont="1" applyFill="1" applyBorder="1" applyAlignment="1">
      <alignment horizontal="center" vertical="center"/>
    </xf>
    <xf numFmtId="0" fontId="7" fillId="2" borderId="4" xfId="10" applyNumberFormat="1" applyFont="1" applyFill="1" applyBorder="1" applyAlignment="1">
      <alignment horizontal="center" vertical="center"/>
    </xf>
    <xf numFmtId="0" fontId="7" fillId="2" borderId="37" xfId="10" applyNumberFormat="1" applyFont="1" applyFill="1" applyBorder="1" applyAlignment="1">
      <alignment horizontal="center" vertical="center"/>
    </xf>
    <xf numFmtId="0" fontId="162" fillId="0" borderId="0" xfId="0" applyFont="1" applyAlignment="1">
      <alignment vertical="center"/>
    </xf>
    <xf numFmtId="0" fontId="162" fillId="0" borderId="0" xfId="0" applyFont="1" applyAlignment="1">
      <alignment horizontal="center" vertical="center"/>
    </xf>
    <xf numFmtId="0" fontId="162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7" fontId="175" fillId="0" borderId="0" xfId="17" applyNumberFormat="1" applyFont="1" applyAlignment="1">
      <alignment wrapText="1"/>
    </xf>
    <xf numFmtId="0" fontId="72" fillId="2" borderId="0" xfId="1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2" fillId="2" borderId="0" xfId="12" applyNumberFormat="1" applyFont="1" applyFill="1" applyBorder="1" applyAlignment="1">
      <alignment vertical="center"/>
    </xf>
    <xf numFmtId="0" fontId="7" fillId="2" borderId="3" xfId="273" applyNumberFormat="1" applyFont="1" applyFill="1" applyBorder="1" applyAlignment="1">
      <alignment horizontal="center" vertical="center"/>
    </xf>
    <xf numFmtId="0" fontId="7" fillId="2" borderId="2" xfId="273" applyNumberFormat="1" applyFont="1" applyFill="1" applyBorder="1" applyAlignment="1">
      <alignment vertical="center"/>
    </xf>
    <xf numFmtId="0" fontId="7" fillId="2" borderId="4" xfId="273" applyNumberFormat="1" applyFont="1" applyFill="1" applyBorder="1" applyAlignment="1">
      <alignment vertical="center"/>
    </xf>
    <xf numFmtId="0" fontId="7" fillId="2" borderId="3" xfId="13" applyNumberFormat="1" applyFont="1" applyFill="1" applyBorder="1" applyAlignment="1">
      <alignment horizontal="center" vertical="center"/>
    </xf>
    <xf numFmtId="0" fontId="7" fillId="2" borderId="2" xfId="13" applyNumberFormat="1" applyFont="1" applyFill="1" applyBorder="1" applyAlignment="1">
      <alignment vertical="center"/>
    </xf>
    <xf numFmtId="0" fontId="7" fillId="2" borderId="4" xfId="13" applyNumberFormat="1" applyFont="1" applyFill="1" applyBorder="1" applyAlignment="1">
      <alignment vertical="center"/>
    </xf>
    <xf numFmtId="0" fontId="7" fillId="2" borderId="2" xfId="13" applyNumberFormat="1" applyFont="1" applyFill="1" applyBorder="1" applyAlignment="1">
      <alignment horizontal="center" vertical="center"/>
    </xf>
    <xf numFmtId="0" fontId="7" fillId="2" borderId="4" xfId="13" applyNumberFormat="1" applyFont="1" applyFill="1" applyBorder="1" applyAlignment="1">
      <alignment horizontal="center" vertical="center"/>
    </xf>
    <xf numFmtId="0" fontId="9" fillId="2" borderId="3" xfId="13" applyNumberFormat="1" applyFont="1" applyFill="1" applyBorder="1" applyAlignment="1">
      <alignment horizontal="center" vertical="center"/>
    </xf>
    <xf numFmtId="0" fontId="9" fillId="2" borderId="2" xfId="13" applyNumberFormat="1" applyFont="1" applyFill="1" applyBorder="1" applyAlignment="1">
      <alignment vertical="center"/>
    </xf>
    <xf numFmtId="0" fontId="9" fillId="2" borderId="4" xfId="13" applyNumberFormat="1" applyFont="1" applyFill="1" applyBorder="1" applyAlignment="1">
      <alignment vertical="center"/>
    </xf>
    <xf numFmtId="0" fontId="9" fillId="2" borderId="2" xfId="13" applyNumberFormat="1" applyFont="1" applyFill="1" applyBorder="1" applyAlignment="1">
      <alignment horizontal="center" vertical="center"/>
    </xf>
    <xf numFmtId="0" fontId="9" fillId="2" borderId="4" xfId="13" applyNumberFormat="1" applyFont="1" applyFill="1" applyBorder="1" applyAlignment="1">
      <alignment horizontal="center" vertical="center"/>
    </xf>
    <xf numFmtId="0" fontId="20" fillId="2" borderId="2" xfId="14" applyNumberFormat="1" applyFont="1" applyFill="1" applyBorder="1" applyAlignment="1">
      <alignment horizontal="center" vertical="center"/>
    </xf>
    <xf numFmtId="0" fontId="20" fillId="2" borderId="4" xfId="14" applyNumberFormat="1" applyFont="1" applyFill="1" applyBorder="1" applyAlignment="1">
      <alignment horizontal="center" vertical="center"/>
    </xf>
    <xf numFmtId="0" fontId="20" fillId="2" borderId="2" xfId="14" applyNumberFormat="1" applyFont="1" applyFill="1" applyBorder="1" applyAlignment="1">
      <alignment vertical="center"/>
    </xf>
    <xf numFmtId="0" fontId="20" fillId="2" borderId="4" xfId="14" applyNumberFormat="1" applyFont="1" applyFill="1" applyBorder="1" applyAlignment="1">
      <alignment vertical="center"/>
    </xf>
    <xf numFmtId="0" fontId="20" fillId="2" borderId="3" xfId="14" applyNumberFormat="1" applyFont="1" applyFill="1" applyBorder="1" applyAlignment="1">
      <alignment horizontal="center" vertical="center"/>
    </xf>
    <xf numFmtId="0" fontId="20" fillId="2" borderId="2" xfId="11" applyNumberFormat="1" applyFont="1" applyFill="1" applyBorder="1" applyAlignment="1">
      <alignment horizontal="center" vertical="center"/>
    </xf>
    <xf numFmtId="0" fontId="20" fillId="2" borderId="4" xfId="11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35">
    <cellStyle name="_cash flows" xfId="22"/>
    <cellStyle name="_T9. Sale Details" xfId="23"/>
    <cellStyle name="_Worksheet in  CAS_Ecoton" xfId="24"/>
    <cellStyle name="_Worksheet in (C) 5640 PPE test" xfId="25"/>
    <cellStyle name="_Worksheet in 5640 PPE test  for 9 month" xfId="26"/>
    <cellStyle name="_Всего" xfId="27"/>
    <cellStyle name="20% - Accent1 2" xfId="28"/>
    <cellStyle name="20% - Accent1 2 2" xfId="29"/>
    <cellStyle name="20% - Accent1 3" xfId="30"/>
    <cellStyle name="20% - Accent1 4" xfId="31"/>
    <cellStyle name="20% - Accent2 2" xfId="32"/>
    <cellStyle name="20% - Accent2 2 2" xfId="33"/>
    <cellStyle name="20% - Accent2 3" xfId="34"/>
    <cellStyle name="20% - Accent2 4" xfId="35"/>
    <cellStyle name="20% - Accent3 2" xfId="36"/>
    <cellStyle name="20% - Accent3 2 2" xfId="37"/>
    <cellStyle name="20% - Accent3 3" xfId="38"/>
    <cellStyle name="20% - Accent3 4" xfId="39"/>
    <cellStyle name="20% - Accent4 2" xfId="40"/>
    <cellStyle name="20% - Accent4 2 2" xfId="41"/>
    <cellStyle name="20% - Accent4 3" xfId="42"/>
    <cellStyle name="20% - Accent4 4" xfId="43"/>
    <cellStyle name="20% - Accent5 2" xfId="44"/>
    <cellStyle name="20% - Accent5 2 2" xfId="45"/>
    <cellStyle name="20% - Accent5 3" xfId="46"/>
    <cellStyle name="20% - Accent5 4" xfId="47"/>
    <cellStyle name="20% - Accent6 2" xfId="48"/>
    <cellStyle name="20% - Accent6 2 2" xfId="49"/>
    <cellStyle name="20% - Accent6 3" xfId="50"/>
    <cellStyle name="20% - Accent6 4" xfId="51"/>
    <cellStyle name="40% - Accent1 2" xfId="52"/>
    <cellStyle name="40% - Accent1 2 2" xfId="53"/>
    <cellStyle name="40% - Accent1 3" xfId="54"/>
    <cellStyle name="40% - Accent1 4" xfId="55"/>
    <cellStyle name="40% - Accent2 2" xfId="56"/>
    <cellStyle name="40% - Accent2 2 2" xfId="57"/>
    <cellStyle name="40% - Accent2 3" xfId="58"/>
    <cellStyle name="40% - Accent2 4" xfId="59"/>
    <cellStyle name="40% - Accent3 2" xfId="60"/>
    <cellStyle name="40% - Accent3 2 2" xfId="61"/>
    <cellStyle name="40% - Accent3 3" xfId="62"/>
    <cellStyle name="40% - Accent3 4" xfId="63"/>
    <cellStyle name="40% - Accent4 2" xfId="64"/>
    <cellStyle name="40% - Accent4 2 2" xfId="65"/>
    <cellStyle name="40% - Accent4 3" xfId="66"/>
    <cellStyle name="40% - Accent4 4" xfId="67"/>
    <cellStyle name="40% - Accent5 2" xfId="68"/>
    <cellStyle name="40% - Accent5 2 2" xfId="69"/>
    <cellStyle name="40% - Accent5 3" xfId="70"/>
    <cellStyle name="40% - Accent5 4" xfId="71"/>
    <cellStyle name="40% - Accent6 2" xfId="72"/>
    <cellStyle name="40% - Accent6 2 2" xfId="73"/>
    <cellStyle name="40% - Accent6 3" xfId="74"/>
    <cellStyle name="40% - Accent6 4" xfId="75"/>
    <cellStyle name="60% - Accent1 2" xfId="76"/>
    <cellStyle name="60% - Accent1 2 2" xfId="77"/>
    <cellStyle name="60% - Accent1 3" xfId="78"/>
    <cellStyle name="60% - Accent2 2" xfId="79"/>
    <cellStyle name="60% - Accent2 2 2" xfId="80"/>
    <cellStyle name="60% - Accent2 3" xfId="81"/>
    <cellStyle name="60% - Accent3 2" xfId="82"/>
    <cellStyle name="60% - Accent3 2 2" xfId="83"/>
    <cellStyle name="60% - Accent3 3" xfId="84"/>
    <cellStyle name="60% - Accent4 2" xfId="85"/>
    <cellStyle name="60% - Accent4 2 2" xfId="86"/>
    <cellStyle name="60% - Accent4 3" xfId="87"/>
    <cellStyle name="60% - Accent5 2" xfId="88"/>
    <cellStyle name="60% - Accent5 2 2" xfId="89"/>
    <cellStyle name="60% - Accent5 3" xfId="90"/>
    <cellStyle name="60% - Accent6 2" xfId="91"/>
    <cellStyle name="60% - Accent6 2 2" xfId="92"/>
    <cellStyle name="60% - Accent6 3" xfId="93"/>
    <cellStyle name="Accent1 2" xfId="94"/>
    <cellStyle name="Accent1 2 2" xfId="95"/>
    <cellStyle name="Accent1 3" xfId="96"/>
    <cellStyle name="Accent2 2" xfId="97"/>
    <cellStyle name="Accent2 2 2" xfId="98"/>
    <cellStyle name="Accent2 3" xfId="99"/>
    <cellStyle name="Accent3 2" xfId="100"/>
    <cellStyle name="Accent3 2 2" xfId="101"/>
    <cellStyle name="Accent3 3" xfId="102"/>
    <cellStyle name="Accent4 2" xfId="103"/>
    <cellStyle name="Accent4 2 2" xfId="104"/>
    <cellStyle name="Accent4 3" xfId="105"/>
    <cellStyle name="Accent5 2" xfId="106"/>
    <cellStyle name="Accent5 2 2" xfId="107"/>
    <cellStyle name="Accent5 3" xfId="108"/>
    <cellStyle name="Accent6 2" xfId="109"/>
    <cellStyle name="Accent6 2 2" xfId="110"/>
    <cellStyle name="Accent6 3" xfId="111"/>
    <cellStyle name="Bad 2" xfId="112"/>
    <cellStyle name="Bad 2 2" xfId="113"/>
    <cellStyle name="Bad 3" xfId="114"/>
    <cellStyle name="Body" xfId="115"/>
    <cellStyle name="BS1" xfId="116"/>
    <cellStyle name="BS2" xfId="117"/>
    <cellStyle name="BS3" xfId="118"/>
    <cellStyle name="BS4" xfId="119"/>
    <cellStyle name="Calc Currency (0)" xfId="120"/>
    <cellStyle name="Calculation 2" xfId="121"/>
    <cellStyle name="Calculation 2 2" xfId="122"/>
    <cellStyle name="Calculation 3" xfId="123"/>
    <cellStyle name="Caption" xfId="124"/>
    <cellStyle name="CdnOxy" xfId="125"/>
    <cellStyle name="Check Cell 2" xfId="126"/>
    <cellStyle name="Check Cell 2 2" xfId="127"/>
    <cellStyle name="Check Cell 3" xfId="128"/>
    <cellStyle name="Column_Title" xfId="129"/>
    <cellStyle name="Comma [0] 2" xfId="20"/>
    <cellStyle name="Comma [0] 2 2" xfId="289"/>
    <cellStyle name="Comma [0] 3" xfId="276"/>
    <cellStyle name="Comma 10" xfId="295"/>
    <cellStyle name="Comma 11" xfId="296"/>
    <cellStyle name="Comma 12" xfId="297"/>
    <cellStyle name="Comma 13" xfId="298"/>
    <cellStyle name="Comma 14" xfId="325"/>
    <cellStyle name="Comma 15" xfId="299"/>
    <cellStyle name="Comma 18" xfId="300"/>
    <cellStyle name="Comma 18 2" xfId="7"/>
    <cellStyle name="Comma 2" xfId="21"/>
    <cellStyle name="Comma 2 2" xfId="301"/>
    <cellStyle name="Comma 2 3" xfId="130"/>
    <cellStyle name="Comma 2 4" xfId="320"/>
    <cellStyle name="Comma 20" xfId="302"/>
    <cellStyle name="Comma 22" xfId="303"/>
    <cellStyle name="Comma 23" xfId="304"/>
    <cellStyle name="Comma 24" xfId="305"/>
    <cellStyle name="Comma 26" xfId="306"/>
    <cellStyle name="Comma 3" xfId="19"/>
    <cellStyle name="Comma 3 2" xfId="307"/>
    <cellStyle name="Comma 3 3" xfId="327"/>
    <cellStyle name="Comma 30" xfId="308"/>
    <cellStyle name="Comma 4" xfId="131"/>
    <cellStyle name="Comma 4 2" xfId="132"/>
    <cellStyle name="Comma 4 3" xfId="309"/>
    <cellStyle name="Comma 4 4" xfId="330"/>
    <cellStyle name="Comma 5" xfId="133"/>
    <cellStyle name="Comma 5 2" xfId="288"/>
    <cellStyle name="Comma 6" xfId="134"/>
    <cellStyle name="Comma 6 2" xfId="310"/>
    <cellStyle name="Comma 7" xfId="135"/>
    <cellStyle name="Comma 8" xfId="275"/>
    <cellStyle name="Comma 9" xfId="279"/>
    <cellStyle name="Copied" xfId="136"/>
    <cellStyle name="CPdollnum" xfId="137"/>
    <cellStyle name="CPgennum" xfId="138"/>
    <cellStyle name="cpoilnum" xfId="139"/>
    <cellStyle name="CPPerCent" xfId="140"/>
    <cellStyle name="CPpershare" xfId="141"/>
    <cellStyle name="CPpersharenodoll" xfId="142"/>
    <cellStyle name="Credit" xfId="143"/>
    <cellStyle name="Credit subtotal" xfId="144"/>
    <cellStyle name="Credit Total" xfId="145"/>
    <cellStyle name="currentperiod" xfId="146"/>
    <cellStyle name="d" xfId="147"/>
    <cellStyle name="Debit" xfId="148"/>
    <cellStyle name="Debit subtotal" xfId="149"/>
    <cellStyle name="Debit Total" xfId="150"/>
    <cellStyle name="Debit_T9. Sale Details" xfId="151"/>
    <cellStyle name="dollars" xfId="152"/>
    <cellStyle name="E&amp;Y House" xfId="153"/>
    <cellStyle name="Entered" xfId="154"/>
    <cellStyle name="ew" xfId="155"/>
    <cellStyle name="Explanatory Text 2" xfId="156"/>
    <cellStyle name="Explanatory Text 2 2" xfId="157"/>
    <cellStyle name="Explanatory Text 3" xfId="158"/>
    <cellStyle name="footnote" xfId="159"/>
    <cellStyle name="FSTitle" xfId="160"/>
    <cellStyle name="g" xfId="161"/>
    <cellStyle name="g_Invoice GI" xfId="162"/>
    <cellStyle name="Gen2dec" xfId="163"/>
    <cellStyle name="gennumbers" xfId="164"/>
    <cellStyle name="gennumdollar" xfId="165"/>
    <cellStyle name="Good 2" xfId="166"/>
    <cellStyle name="Good 2 2" xfId="167"/>
    <cellStyle name="Good 3" xfId="168"/>
    <cellStyle name="Grey" xfId="169"/>
    <cellStyle name="Header1" xfId="170"/>
    <cellStyle name="Header2" xfId="171"/>
    <cellStyle name="Heading" xfId="172"/>
    <cellStyle name="Heading 1 2" xfId="173"/>
    <cellStyle name="Heading 1 2 2" xfId="174"/>
    <cellStyle name="Heading 1 3" xfId="175"/>
    <cellStyle name="Heading 2 2" xfId="176"/>
    <cellStyle name="Heading 2 2 2" xfId="177"/>
    <cellStyle name="Heading 2 3" xfId="178"/>
    <cellStyle name="Heading 3 2" xfId="179"/>
    <cellStyle name="Heading 3 2 2" xfId="180"/>
    <cellStyle name="Heading 3 3" xfId="181"/>
    <cellStyle name="Heading 4 2" xfId="182"/>
    <cellStyle name="Heading 4 2 2" xfId="183"/>
    <cellStyle name="Heading 4 3" xfId="184"/>
    <cellStyle name="Hyperlink 2" xfId="185"/>
    <cellStyle name="Îáû÷íûé_cogs" xfId="186"/>
    <cellStyle name="Input [yellow]" xfId="187"/>
    <cellStyle name="Input 2" xfId="188"/>
    <cellStyle name="Input 2 2" xfId="189"/>
    <cellStyle name="Input 3" xfId="190"/>
    <cellStyle name="KPMG Heading 1" xfId="191"/>
    <cellStyle name="KPMG Heading 2" xfId="192"/>
    <cellStyle name="KPMG Heading 3" xfId="193"/>
    <cellStyle name="KPMG Heading 4" xfId="194"/>
    <cellStyle name="KPMG Normal" xfId="195"/>
    <cellStyle name="KPMG Normal Text" xfId="196"/>
    <cellStyle name="Linked Cell 2" xfId="197"/>
    <cellStyle name="Linked Cell 2 2" xfId="198"/>
    <cellStyle name="Linked Cell 3" xfId="199"/>
    <cellStyle name="measure" xfId="200"/>
    <cellStyle name="Neutral 2" xfId="201"/>
    <cellStyle name="Neutral 2 2" xfId="202"/>
    <cellStyle name="Neutral 3" xfId="203"/>
    <cellStyle name="Normal - Style1" xfId="204"/>
    <cellStyle name="Normal 10" xfId="205"/>
    <cellStyle name="Normal 11" xfId="274"/>
    <cellStyle name="Normal 12" xfId="278"/>
    <cellStyle name="Normal 13" xfId="286"/>
    <cellStyle name="Normal 13 2" xfId="323"/>
    <cellStyle name="Normal 14" xfId="287"/>
    <cellStyle name="Normal 15" xfId="315"/>
    <cellStyle name="Normal 16" xfId="316"/>
    <cellStyle name="Normal 17" xfId="317"/>
    <cellStyle name="Normal 18" xfId="318"/>
    <cellStyle name="Normal 19" xfId="319"/>
    <cellStyle name="Normal 2" xfId="18"/>
    <cellStyle name="Normal 2 2" xfId="206"/>
    <cellStyle name="Normal 2 2 2" xfId="207"/>
    <cellStyle name="Normal 2 2 3" xfId="294"/>
    <cellStyle name="Normal 2 2 4" xfId="208"/>
    <cellStyle name="Normal 2 3" xfId="209"/>
    <cellStyle name="Normal 2 4" xfId="210"/>
    <cellStyle name="Normal 2 4 2" xfId="211"/>
    <cellStyle name="Normal 2 5" xfId="291"/>
    <cellStyle name="Normal 3" xfId="212"/>
    <cellStyle name="Normal 3 2" xfId="213"/>
    <cellStyle name="Normal 3 3" xfId="214"/>
    <cellStyle name="Normal 31" xfId="311"/>
    <cellStyle name="Normal 4" xfId="215"/>
    <cellStyle name="Normal 4 2" xfId="216"/>
    <cellStyle name="Normal 4 3" xfId="292"/>
    <cellStyle name="Normal 4 4" xfId="326"/>
    <cellStyle name="Normal 5" xfId="217"/>
    <cellStyle name="Normal 5 2" xfId="312"/>
    <cellStyle name="Normal 5 3" xfId="329"/>
    <cellStyle name="Normal 6" xfId="218"/>
    <cellStyle name="Normal 6 2" xfId="219"/>
    <cellStyle name="Normal 67" xfId="332"/>
    <cellStyle name="Normal 7" xfId="220"/>
    <cellStyle name="Normal 7 2" xfId="313"/>
    <cellStyle name="Normal 70" xfId="322"/>
    <cellStyle name="Normal 8" xfId="221"/>
    <cellStyle name="Normal 8 2" xfId="222"/>
    <cellStyle name="Normal 8 3" xfId="314"/>
    <cellStyle name="Normal 9" xfId="223"/>
    <cellStyle name="Normal_18" xfId="333"/>
    <cellStyle name="Normal_29" xfId="281"/>
    <cellStyle name="Normal_6" xfId="9"/>
    <cellStyle name="Normal_7" xfId="282"/>
    <cellStyle name="Normal_Cash" xfId="13"/>
    <cellStyle name="Normal_Financial B.V." xfId="14"/>
    <cellStyle name="Normal_Forex" xfId="272"/>
    <cellStyle name="Normal_Sheet1" xfId="273"/>
    <cellStyle name="Normal_Sheet4" xfId="2"/>
    <cellStyle name="Normal_Sheet6" xfId="6"/>
    <cellStyle name="Normal_Summary" xfId="283"/>
    <cellStyle name="Normal_TB" xfId="1"/>
    <cellStyle name="Normal_TB_KA'17 NEW" xfId="3"/>
    <cellStyle name="Normal_Worksheet in 2251 Cash Flow Worksheet" xfId="17"/>
    <cellStyle name="Normal_Займы выданные" xfId="10"/>
    <cellStyle name="Normal_ОСВ KA" xfId="284"/>
    <cellStyle name="Normal_ОСВ KA Tech" xfId="4"/>
    <cellStyle name="Normal_ОСВ Logistics" xfId="16"/>
    <cellStyle name="Normal_ОСВ Technology" xfId="15"/>
    <cellStyle name="Normal_Предоплата" xfId="12"/>
    <cellStyle name="Normal_Прочее" xfId="11"/>
    <cellStyle name="Normal_ТМО" xfId="5"/>
    <cellStyle name="Normal_Фин инструменты" xfId="285"/>
    <cellStyle name="Normalny_24. 02. 97." xfId="224"/>
    <cellStyle name="Note 2" xfId="225"/>
    <cellStyle name="Note 2 2" xfId="226"/>
    <cellStyle name="Note 3" xfId="227"/>
    <cellStyle name="Ôèíàíñîâûé [0]_Ëèñò1" xfId="228"/>
    <cellStyle name="Ôèíàíñîâûé_Ëèñò1" xfId="229"/>
    <cellStyle name="oilnumbers" xfId="230"/>
    <cellStyle name="Òûñÿ÷è [0]_cogs" xfId="231"/>
    <cellStyle name="Òûñÿ÷è_cogs" xfId="232"/>
    <cellStyle name="Output 2" xfId="233"/>
    <cellStyle name="Output 2 2" xfId="234"/>
    <cellStyle name="Output 3" xfId="235"/>
    <cellStyle name="Percent (0)" xfId="236"/>
    <cellStyle name="Percent [2]" xfId="237"/>
    <cellStyle name="Percent 2" xfId="238"/>
    <cellStyle name="Percent 2 2" xfId="290"/>
    <cellStyle name="Percent 3" xfId="239"/>
    <cellStyle name="Percent 3 2" xfId="328"/>
    <cellStyle name="Percent 4" xfId="240"/>
    <cellStyle name="Percent 4 2" xfId="331"/>
    <cellStyle name="Percent 5" xfId="241"/>
    <cellStyle name="Percent 6" xfId="277"/>
    <cellStyle name="Percent 7" xfId="280"/>
    <cellStyle name="percentgen" xfId="242"/>
    <cellStyle name="PerShare" xfId="243"/>
    <cellStyle name="PerSharenodollar" xfId="244"/>
    <cellStyle name="RevList" xfId="245"/>
    <cellStyle name="SAPBEXHLevel2" xfId="246"/>
    <cellStyle name="SAPBEXHLevel3" xfId="247"/>
    <cellStyle name="Standard_Adjustments_Consulting_2000" xfId="248"/>
    <cellStyle name="Style 1" xfId="249"/>
    <cellStyle name="Subtotal" xfId="250"/>
    <cellStyle name="Tickmark" xfId="251"/>
    <cellStyle name="timeperiod" xfId="252"/>
    <cellStyle name="Title 2" xfId="253"/>
    <cellStyle name="Title 2 2" xfId="254"/>
    <cellStyle name="Title 3" xfId="255"/>
    <cellStyle name="Total 2" xfId="256"/>
    <cellStyle name="Total 2 2" xfId="257"/>
    <cellStyle name="Total 3" xfId="258"/>
    <cellStyle name="Warning Text 2" xfId="259"/>
    <cellStyle name="Warning Text 2 2" xfId="260"/>
    <cellStyle name="Warning Text 3" xfId="261"/>
    <cellStyle name="Year" xfId="262"/>
    <cellStyle name="Акцент1" xfId="8" builtinId="29"/>
    <cellStyle name="Гиперссылка" xfId="263"/>
    <cellStyle name="КАНДАГАЧ тел3-33-96" xfId="264"/>
    <cellStyle name="Мой" xfId="265"/>
    <cellStyle name="Обычный" xfId="0" builtinId="0"/>
    <cellStyle name="Обычный 2 2 2 2" xfId="293"/>
    <cellStyle name="Обычный 2 6" xfId="321"/>
    <cellStyle name="Обычный 3" xfId="324"/>
    <cellStyle name="Открывавшаяся гиперссылка" xfId="266"/>
    <cellStyle name="Субсчет" xfId="267"/>
    <cellStyle name="Текстовый" xfId="268"/>
    <cellStyle name="Тысячи [0]" xfId="269"/>
    <cellStyle name="Тысячи_010SN05" xfId="270"/>
    <cellStyle name="Финансовый" xfId="334" builtinId="3"/>
    <cellStyle name="Числовой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68" Type="http://schemas.openxmlformats.org/officeDocument/2006/relationships/externalLink" Target="externalLinks/externalLink1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externalLink" Target="externalLinks/externalLink13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externalLink" Target="externalLinks/externalLink12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externalLink" Target="externalLinks/externalLink11.xml"/><Relationship Id="rId69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70" Type="http://schemas.openxmlformats.org/officeDocument/2006/relationships/externalLink" Target="externalLinks/externalLink17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101600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565150" cy="12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101600</xdr:colOff>
      <xdr:row>0</xdr:row>
      <xdr:rowOff>0</xdr:rowOff>
    </xdr:from>
    <xdr:to>
      <xdr:col>1</xdr:col>
      <xdr:colOff>755650</xdr:colOff>
      <xdr:row>1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65150" y="0"/>
          <a:ext cx="654050" cy="12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7</xdr:row>
      <xdr:rowOff>0</xdr:rowOff>
    </xdr:from>
    <xdr:to>
      <xdr:col>9</xdr:col>
      <xdr:colOff>80963</xdr:colOff>
      <xdr:row>12</xdr:row>
      <xdr:rowOff>44449</xdr:rowOff>
    </xdr:to>
    <xdr:sp macro="" textlink="">
      <xdr:nvSpPr>
        <xdr:cNvPr id="3" name="TextBox 2"/>
        <xdr:cNvSpPr txBox="1"/>
      </xdr:nvSpPr>
      <xdr:spPr>
        <a:xfrm>
          <a:off x="673101" y="1349375"/>
          <a:ext cx="5051425" cy="877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900">
              <a:latin typeface="Caibri"/>
            </a:rPr>
            <a:t>Группа заключила договор на выпуск безотзывного покрытого аккредитива</a:t>
          </a:r>
          <a:r>
            <a:rPr lang="ru-RU" sz="900" baseline="0">
              <a:latin typeface="Caibri"/>
            </a:rPr>
            <a:t> с АО "Народный Банк Казахстана" от 13 февраля 2018 г.</a:t>
          </a:r>
          <a:r>
            <a:rPr lang="ru-RU" sz="900" baseline="0">
              <a:solidFill>
                <a:srgbClr val="FF0000"/>
              </a:solidFill>
              <a:latin typeface="Caibri"/>
            </a:rPr>
            <a:t> </a:t>
          </a:r>
          <a:r>
            <a:rPr lang="ru-RU" sz="900" baseline="0">
              <a:latin typeface="Caibri"/>
            </a:rPr>
            <a:t>сумма которого по состоянию на 31 декабря 2018 г. составляет </a:t>
          </a:r>
          <a:r>
            <a:rPr lang="en-US" sz="900" baseline="0">
              <a:latin typeface="Caibri"/>
            </a:rPr>
            <a:t>149,620 </a:t>
          </a:r>
          <a:r>
            <a:rPr lang="ru-RU" sz="900" baseline="0">
              <a:latin typeface="Caibri"/>
            </a:rPr>
            <a:t>евро (эквивалентно 65,739 тыс. тенге) в рамках обеспецения договора №КА-17-369138 от 20 ноября 2017 г. с компанией ООО "НПП Уралэлектра" на поставк</a:t>
          </a:r>
          <a:r>
            <a:rPr lang="ru-RU" sz="900" baseline="0">
              <a:solidFill>
                <a:sysClr val="windowText" lastClr="000000"/>
              </a:solidFill>
              <a:latin typeface="Caibri"/>
            </a:rPr>
            <a:t>у оборудования для производства.</a:t>
          </a:r>
          <a:endParaRPr lang="ru-RU" sz="900">
            <a:solidFill>
              <a:sysClr val="windowText" lastClr="000000"/>
            </a:solidFill>
            <a:latin typeface="Ca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ozhakanov/Desktop/FA%20&#1040;&#1085;&#1072;&#1083;&#1080;&#1079;/New%20Microsoft%20Office%20Excel%20Workshe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roperty,%20plant%20and%20equipment%20201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rastogi\Local%20Settings\Temporary%20Internet%20Files\OLK12B\Example%20reporting%20pack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&#1052;&#1086;&#1080;%20&#1076;&#1086;&#1082;&#1091;&#1084;&#1077;&#1085;&#1090;&#1099;/Sebes%20NHZ%202001%20(0var%20&#1086;&#1089;&#1085;&#1086;&#1074;&#1085;&#1086;&#1081;)/tovarNH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AliyaTanabergenova/My%20projects/PNKhZ/tovarNHZ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PPE%20test%20as%20of%2031%2012%2007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3%20Inventory%20test%20-final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PPE%20Mvt%20as%20of%2031.12.0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Documents%20and%20Settings/yaverina/My%20Documents/Projects/Clients/IVT/2005/IFRS%20Conversion/Phase%203/IVT_2005_Reporting%20Package_31%20Dec%202005_consolid_26.03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WINDOWS/Desktop/TAX%20legislation/Turgai%20Documents/&#1088;&#1072;&#1089;&#1095;&#1077;&#1090;%20634.1/&#1058;&#1072;&#1083;&#1075;&#1072;&#1090;/&#1056;&#1072;&#1089;&#1095;&#1077;&#1090;&#1085;&#1099;&#1077;%20&#1074;&#1077;&#1076;&#1086;&#1084;&#1086;&#1089;&#1090;&#1080;/&#1088;&#1072;&#1089;&#1095;&#1077;&#1090;%20&#1079;&#1072;&#1088;&#1087;&#1083;&#1072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WINNT/Temporary%20Internet%20Files/OLK14A/payroll_2003_modifi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CMA%20CIP%20Additions%20selection%20for%20TOD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ARIPO~1/LOCALS~1/Temp/notesB9218C/DOCUME~1/EYeguy/LOCALS~1/Temp/PBC-Final%20Kmod8-December-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418%20Understand%20the%20Entity's%20Significant%20Contract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bakineyev\My%20Documents\Damn%20it\Audit%20File\5000%20Sustantive%20testing%20-%20Assets\5012%20FA%20Combined%20Leadshe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2%20Fixed%20assets%20test%20final%20200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AR%20Testing%2012m%202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E movement"/>
      <sheetName val="TOD purchases"/>
      <sheetName val="CIP transfer"/>
      <sheetName val="Depreciation"/>
      <sheetName val="Depreciation (2)"/>
      <sheetName val="Cut-off"/>
      <sheetName val="PBC"/>
      <sheetName val="JET"/>
      <sheetName val="Tickmarks"/>
      <sheetName val="Audit sampling table"/>
    </sheetNames>
    <sheetDataSet>
      <sheetData sheetId="0" refreshError="1"/>
      <sheetData sheetId="1">
        <row r="53">
          <cell r="O53">
            <v>35005.029699999803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E Mvt"/>
      <sheetName val="Intangibles Mvt"/>
      <sheetName val="TOD Additions"/>
      <sheetName val="TOD Disposals"/>
      <sheetName val="Depreciation"/>
      <sheetName val="Fully Depreciated FA 2006"/>
      <sheetName val="Expected vs Actual"/>
      <sheetName val="Threshold Calc"/>
      <sheetName val="Reconilliation with Inventory"/>
      <sheetName val="Reconcillation with COP"/>
      <sheetName val="Reconcilliation with G&amp;A"/>
      <sheetName val="Ex rate PBC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SP disclose"/>
      <sheetName val="movement 12 month "/>
      <sheetName val="DGS"/>
      <sheetName val="movement 3 month"/>
      <sheetName val="Test"/>
      <sheetName val="Pavlodar"/>
      <sheetName val="Karaganda"/>
      <sheetName val="AUR"/>
      <sheetName val="MB Astana"/>
      <sheetName val="Intercompany"/>
      <sheetName val="Sheet1"/>
      <sheetName val="Final update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PPE"/>
      <sheetName val="Disclosure IA"/>
      <sheetName val="FA Mvt"/>
      <sheetName val="CIP Mvt"/>
      <sheetName val="TOD additions"/>
      <sheetName val="TOD disposals"/>
      <sheetName val="RP Transactions"/>
      <sheetName val="Intangibles"/>
      <sheetName val="2931 Additions"/>
      <sheetName val="Depreciation"/>
      <sheetName val="CIP additions"/>
      <sheetName val="CIP2932"/>
      <sheetName val="Acc 1000 test"/>
      <sheetName val="Excess Calc"/>
      <sheetName val="TCalc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каIVT"/>
      <sheetName val="Форма2IVT"/>
      <sheetName val="CF_ИВТ"/>
      <sheetName val="UMZEngin"/>
      <sheetName val="&lt;PBC"/>
      <sheetName val="ОтчетОДохИРасх"/>
      <sheetName val="БухБаланс"/>
      <sheetName val="ОтчетОДвижДенег"/>
      <sheetName val="Капитал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</sheetNames>
    <sheetDataSet>
      <sheetData sheetId="0"/>
      <sheetData sheetId="1">
        <row r="19">
          <cell r="C19">
            <v>56</v>
          </cell>
          <cell r="E19">
            <v>56</v>
          </cell>
          <cell r="F19">
            <v>56</v>
          </cell>
        </row>
        <row r="20">
          <cell r="C20">
            <v>7481</v>
          </cell>
          <cell r="E20">
            <v>10700</v>
          </cell>
          <cell r="F20">
            <v>10225</v>
          </cell>
        </row>
        <row r="21">
          <cell r="C21">
            <v>370</v>
          </cell>
        </row>
        <row r="26">
          <cell r="F26">
            <v>8</v>
          </cell>
        </row>
        <row r="27">
          <cell r="D27">
            <v>2381</v>
          </cell>
          <cell r="F27">
            <v>1202</v>
          </cell>
        </row>
        <row r="31">
          <cell r="D31">
            <v>184</v>
          </cell>
          <cell r="F31">
            <v>73</v>
          </cell>
        </row>
        <row r="35">
          <cell r="C35">
            <v>21232</v>
          </cell>
          <cell r="E35">
            <v>36900</v>
          </cell>
          <cell r="F35">
            <v>31724</v>
          </cell>
        </row>
        <row r="36">
          <cell r="C36">
            <v>10544</v>
          </cell>
          <cell r="E36">
            <v>24791</v>
          </cell>
          <cell r="F36">
            <v>24791</v>
          </cell>
        </row>
        <row r="37">
          <cell r="C37">
            <v>5872</v>
          </cell>
          <cell r="E37">
            <v>10826</v>
          </cell>
          <cell r="F37">
            <v>8373</v>
          </cell>
        </row>
        <row r="41">
          <cell r="D41">
            <v>7193</v>
          </cell>
          <cell r="E41">
            <v>685</v>
          </cell>
          <cell r="F41">
            <v>5042</v>
          </cell>
        </row>
        <row r="42">
          <cell r="D42">
            <v>1614</v>
          </cell>
          <cell r="F42">
            <v>1370</v>
          </cell>
        </row>
        <row r="43">
          <cell r="D43">
            <v>2257</v>
          </cell>
          <cell r="E43">
            <v>360</v>
          </cell>
        </row>
        <row r="45">
          <cell r="C45">
            <v>1819</v>
          </cell>
          <cell r="E45">
            <v>20725</v>
          </cell>
          <cell r="F45">
            <v>1819</v>
          </cell>
        </row>
        <row r="47">
          <cell r="E47">
            <v>27663</v>
          </cell>
          <cell r="F47">
            <v>21107</v>
          </cell>
        </row>
        <row r="51">
          <cell r="C51">
            <v>449</v>
          </cell>
          <cell r="E51">
            <v>12751</v>
          </cell>
          <cell r="F51">
            <v>7613</v>
          </cell>
        </row>
        <row r="53">
          <cell r="C53">
            <v>0</v>
          </cell>
          <cell r="E53">
            <v>1944</v>
          </cell>
          <cell r="F53">
            <v>1897</v>
          </cell>
        </row>
        <row r="54">
          <cell r="C54">
            <v>0</v>
          </cell>
          <cell r="E54">
            <v>199</v>
          </cell>
          <cell r="F54">
            <v>102</v>
          </cell>
        </row>
        <row r="55">
          <cell r="E55">
            <v>263</v>
          </cell>
          <cell r="F55">
            <v>179</v>
          </cell>
        </row>
        <row r="56">
          <cell r="C56">
            <v>0</v>
          </cell>
          <cell r="E56">
            <v>5610</v>
          </cell>
          <cell r="F56">
            <v>4212</v>
          </cell>
        </row>
        <row r="60">
          <cell r="C60">
            <v>10012</v>
          </cell>
          <cell r="E60">
            <v>64662</v>
          </cell>
          <cell r="F60">
            <v>10011</v>
          </cell>
        </row>
        <row r="69">
          <cell r="C69">
            <v>21674</v>
          </cell>
          <cell r="E69">
            <v>242543</v>
          </cell>
          <cell r="F69">
            <v>245461</v>
          </cell>
        </row>
        <row r="71">
          <cell r="E71">
            <v>120</v>
          </cell>
          <cell r="F71">
            <v>120</v>
          </cell>
        </row>
        <row r="78">
          <cell r="E78">
            <v>12690</v>
          </cell>
          <cell r="F78">
            <v>12690</v>
          </cell>
        </row>
        <row r="80">
          <cell r="C80">
            <v>344</v>
          </cell>
          <cell r="E80">
            <v>21633</v>
          </cell>
          <cell r="F80">
            <v>19536</v>
          </cell>
        </row>
        <row r="81">
          <cell r="C81">
            <v>4646</v>
          </cell>
          <cell r="E81">
            <v>12212</v>
          </cell>
          <cell r="F81">
            <v>16329</v>
          </cell>
        </row>
        <row r="83">
          <cell r="E83">
            <v>768</v>
          </cell>
          <cell r="F83">
            <v>638</v>
          </cell>
        </row>
        <row r="85">
          <cell r="C85">
            <v>133</v>
          </cell>
          <cell r="E85">
            <v>17142</v>
          </cell>
          <cell r="F85">
            <v>17209</v>
          </cell>
        </row>
        <row r="87">
          <cell r="C87">
            <v>1589</v>
          </cell>
          <cell r="E87">
            <v>10067</v>
          </cell>
          <cell r="F87">
            <v>11491</v>
          </cell>
        </row>
        <row r="88">
          <cell r="C88">
            <v>14336</v>
          </cell>
          <cell r="E88">
            <v>40999</v>
          </cell>
          <cell r="F88">
            <v>37726</v>
          </cell>
        </row>
        <row r="95">
          <cell r="E95">
            <v>348493</v>
          </cell>
          <cell r="F95">
            <v>348493</v>
          </cell>
        </row>
        <row r="99">
          <cell r="E99">
            <v>600</v>
          </cell>
          <cell r="F99">
            <v>312</v>
          </cell>
        </row>
        <row r="100">
          <cell r="E100">
            <v>1780</v>
          </cell>
          <cell r="F100">
            <v>1780</v>
          </cell>
        </row>
        <row r="102">
          <cell r="E102">
            <v>1969</v>
          </cell>
          <cell r="F102">
            <v>1969</v>
          </cell>
        </row>
        <row r="104">
          <cell r="C104">
            <v>31893</v>
          </cell>
          <cell r="E104">
            <v>565402</v>
          </cell>
          <cell r="F104">
            <v>585857</v>
          </cell>
        </row>
        <row r="106">
          <cell r="C106">
            <v>286</v>
          </cell>
          <cell r="E106">
            <v>22936</v>
          </cell>
          <cell r="F106">
            <v>23088</v>
          </cell>
        </row>
        <row r="107">
          <cell r="C107">
            <v>0</v>
          </cell>
        </row>
        <row r="112">
          <cell r="D112">
            <v>43632</v>
          </cell>
        </row>
        <row r="113">
          <cell r="C113">
            <v>21796</v>
          </cell>
          <cell r="E113">
            <v>0</v>
          </cell>
          <cell r="F113">
            <v>21796</v>
          </cell>
        </row>
        <row r="115">
          <cell r="D115">
            <v>0</v>
          </cell>
        </row>
        <row r="124">
          <cell r="D124">
            <v>0</v>
          </cell>
          <cell r="F124">
            <v>-1588</v>
          </cell>
        </row>
        <row r="125">
          <cell r="D125">
            <v>-4855</v>
          </cell>
          <cell r="E125">
            <v>0</v>
          </cell>
        </row>
        <row r="126">
          <cell r="D126">
            <v>0</v>
          </cell>
          <cell r="E126">
            <v>211017</v>
          </cell>
          <cell r="F126">
            <v>211017</v>
          </cell>
        </row>
        <row r="131">
          <cell r="E131">
            <v>14000</v>
          </cell>
          <cell r="F131">
            <v>44000</v>
          </cell>
        </row>
        <row r="138">
          <cell r="E138">
            <v>3225</v>
          </cell>
          <cell r="F138">
            <v>3914</v>
          </cell>
        </row>
        <row r="139">
          <cell r="D139">
            <v>3345</v>
          </cell>
        </row>
        <row r="140">
          <cell r="D140">
            <v>8814</v>
          </cell>
          <cell r="E140">
            <v>35943</v>
          </cell>
          <cell r="F140">
            <v>31662</v>
          </cell>
        </row>
        <row r="148">
          <cell r="D148">
            <v>47048</v>
          </cell>
          <cell r="E148">
            <v>46105</v>
          </cell>
        </row>
        <row r="155">
          <cell r="E155">
            <v>120</v>
          </cell>
          <cell r="F155">
            <v>120</v>
          </cell>
        </row>
        <row r="156">
          <cell r="D156">
            <v>16150</v>
          </cell>
          <cell r="E156">
            <v>169088</v>
          </cell>
          <cell r="F156">
            <v>235225</v>
          </cell>
        </row>
        <row r="157">
          <cell r="D157">
            <v>431</v>
          </cell>
          <cell r="E157">
            <v>431</v>
          </cell>
        </row>
        <row r="158">
          <cell r="D158">
            <v>9011</v>
          </cell>
          <cell r="E158">
            <v>126534</v>
          </cell>
          <cell r="F158">
            <v>125661</v>
          </cell>
        </row>
        <row r="161">
          <cell r="D161">
            <v>9277</v>
          </cell>
          <cell r="E161">
            <v>142884</v>
          </cell>
          <cell r="F161">
            <v>137074</v>
          </cell>
        </row>
        <row r="165">
          <cell r="E165">
            <v>11002</v>
          </cell>
          <cell r="F165">
            <v>18109</v>
          </cell>
        </row>
        <row r="166">
          <cell r="D166">
            <v>1878</v>
          </cell>
          <cell r="E166">
            <v>12886</v>
          </cell>
          <cell r="F166">
            <v>12240</v>
          </cell>
        </row>
        <row r="167">
          <cell r="D167">
            <v>568</v>
          </cell>
          <cell r="E167">
            <v>20980</v>
          </cell>
          <cell r="F167">
            <v>22809</v>
          </cell>
        </row>
        <row r="170">
          <cell r="E170">
            <v>210346</v>
          </cell>
          <cell r="F170">
            <v>210346</v>
          </cell>
        </row>
        <row r="177">
          <cell r="E177">
            <v>90</v>
          </cell>
          <cell r="F177">
            <v>90</v>
          </cell>
        </row>
        <row r="180">
          <cell r="E180">
            <v>4</v>
          </cell>
          <cell r="F180">
            <v>4</v>
          </cell>
        </row>
        <row r="182">
          <cell r="E182">
            <v>576</v>
          </cell>
          <cell r="F182">
            <v>576</v>
          </cell>
        </row>
        <row r="185">
          <cell r="E185">
            <v>156738</v>
          </cell>
          <cell r="F185">
            <v>156738</v>
          </cell>
        </row>
        <row r="187">
          <cell r="E187">
            <v>55087</v>
          </cell>
          <cell r="F187">
            <v>55087</v>
          </cell>
        </row>
        <row r="191">
          <cell r="E191">
            <v>518</v>
          </cell>
          <cell r="F191">
            <v>518</v>
          </cell>
        </row>
        <row r="193">
          <cell r="E193">
            <v>3</v>
          </cell>
          <cell r="F193">
            <v>3</v>
          </cell>
        </row>
        <row r="194">
          <cell r="E194">
            <v>258</v>
          </cell>
          <cell r="F194">
            <v>258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6">
          <cell r="E206">
            <v>107960</v>
          </cell>
          <cell r="F206">
            <v>107960</v>
          </cell>
        </row>
        <row r="207">
          <cell r="E207">
            <v>13626</v>
          </cell>
          <cell r="F207">
            <v>13626</v>
          </cell>
        </row>
        <row r="208">
          <cell r="E208">
            <v>77989</v>
          </cell>
          <cell r="F208">
            <v>77989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24">
          <cell r="E224">
            <v>5035</v>
          </cell>
          <cell r="F224">
            <v>5035</v>
          </cell>
        </row>
        <row r="225">
          <cell r="E225">
            <v>639</v>
          </cell>
          <cell r="F225">
            <v>639</v>
          </cell>
        </row>
        <row r="230">
          <cell r="E230">
            <v>3937</v>
          </cell>
          <cell r="F230">
            <v>3937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"/>
      <sheetName val="CMA Selections"/>
      <sheetName val="Table"/>
      <sheetName val="Tickmarks"/>
      <sheetName val="CMA_SampleDesign"/>
      <sheetName val="DialogInsert"/>
    </sheetNames>
    <sheetDataSet>
      <sheetData sheetId="0" refreshError="1"/>
      <sheetData sheetId="1">
        <row r="78">
          <cell r="D78">
            <v>284928.77185000008</v>
          </cell>
          <cell r="H78">
            <v>-3418.7383900000605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Summary - Significant Contracts"/>
      <sheetName val="Register 2015"/>
      <sheetName val="PBC"/>
      <sheetName val="Tickmarks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</row>
        <row r="4">
          <cell r="F4">
            <v>0</v>
          </cell>
        </row>
        <row r="6">
          <cell r="F6">
            <v>0</v>
          </cell>
        </row>
        <row r="8">
          <cell r="F8">
            <v>0</v>
          </cell>
        </row>
        <row r="10">
          <cell r="F10">
            <v>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17730</v>
          </cell>
        </row>
        <row r="19">
          <cell r="F19">
            <v>1971990</v>
          </cell>
        </row>
        <row r="20">
          <cell r="F20">
            <v>1989720</v>
          </cell>
        </row>
        <row r="22">
          <cell r="F22">
            <v>6598951</v>
          </cell>
        </row>
        <row r="23">
          <cell r="F23">
            <v>6598951</v>
          </cell>
        </row>
        <row r="25">
          <cell r="F25">
            <v>60991</v>
          </cell>
        </row>
        <row r="26">
          <cell r="F26">
            <v>9230682</v>
          </cell>
        </row>
        <row r="27">
          <cell r="F27">
            <v>9291673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3294</v>
          </cell>
        </row>
        <row r="34">
          <cell r="F34">
            <v>129016</v>
          </cell>
        </row>
        <row r="35">
          <cell r="F35">
            <v>132310</v>
          </cell>
        </row>
        <row r="37">
          <cell r="F37">
            <v>4199</v>
          </cell>
        </row>
        <row r="38">
          <cell r="F38">
            <v>20839</v>
          </cell>
        </row>
        <row r="39">
          <cell r="F39">
            <v>25038</v>
          </cell>
        </row>
        <row r="41">
          <cell r="F41">
            <v>362622</v>
          </cell>
        </row>
        <row r="42">
          <cell r="F42">
            <v>103</v>
          </cell>
        </row>
        <row r="43">
          <cell r="F43">
            <v>362725</v>
          </cell>
        </row>
        <row r="45">
          <cell r="F45">
            <v>-1044</v>
          </cell>
        </row>
        <row r="46">
          <cell r="F46">
            <v>-7501</v>
          </cell>
        </row>
        <row r="47">
          <cell r="F47">
            <v>-1736</v>
          </cell>
        </row>
        <row r="48">
          <cell r="F48">
            <v>-493</v>
          </cell>
        </row>
        <row r="49">
          <cell r="F49">
            <v>-722479</v>
          </cell>
        </row>
        <row r="50">
          <cell r="F50">
            <v>-3304945</v>
          </cell>
        </row>
        <row r="51">
          <cell r="F51">
            <v>-45750</v>
          </cell>
        </row>
        <row r="52">
          <cell r="F52">
            <v>-4647</v>
          </cell>
        </row>
        <row r="53">
          <cell r="F53">
            <v>-52449</v>
          </cell>
        </row>
        <row r="54">
          <cell r="F54">
            <v>-4141044</v>
          </cell>
        </row>
        <row r="55">
          <cell r="F55">
            <v>14259373</v>
          </cell>
        </row>
      </sheetData>
      <sheetData sheetId="1">
        <row r="1">
          <cell r="F1" t="str">
            <v>Preliminary</v>
          </cell>
        </row>
        <row r="3">
          <cell r="F3">
            <v>0</v>
          </cell>
        </row>
        <row r="5">
          <cell r="F5">
            <v>0</v>
          </cell>
        </row>
        <row r="7">
          <cell r="F7">
            <v>0</v>
          </cell>
        </row>
        <row r="9">
          <cell r="F9">
            <v>0</v>
          </cell>
        </row>
        <row r="11">
          <cell r="F11">
            <v>0</v>
          </cell>
        </row>
        <row r="13">
          <cell r="F13">
            <v>0</v>
          </cell>
        </row>
        <row r="15">
          <cell r="F15">
            <v>0</v>
          </cell>
        </row>
        <row r="17">
          <cell r="F17">
            <v>17730</v>
          </cell>
        </row>
        <row r="18">
          <cell r="F18">
            <v>1971990</v>
          </cell>
        </row>
        <row r="19">
          <cell r="F19">
            <v>1989720</v>
          </cell>
        </row>
        <row r="21">
          <cell r="F21">
            <v>6598951</v>
          </cell>
        </row>
        <row r="22">
          <cell r="F22">
            <v>6598951</v>
          </cell>
        </row>
        <row r="24">
          <cell r="F24">
            <v>60991</v>
          </cell>
        </row>
        <row r="25">
          <cell r="F25">
            <v>9230682</v>
          </cell>
        </row>
        <row r="26">
          <cell r="F26">
            <v>9291673</v>
          </cell>
        </row>
        <row r="28">
          <cell r="F28">
            <v>0</v>
          </cell>
        </row>
        <row r="30">
          <cell r="F30">
            <v>0</v>
          </cell>
        </row>
        <row r="32">
          <cell r="F32">
            <v>3294</v>
          </cell>
        </row>
        <row r="33">
          <cell r="F33">
            <v>129016</v>
          </cell>
        </row>
        <row r="34">
          <cell r="F34">
            <v>132310</v>
          </cell>
        </row>
        <row r="36">
          <cell r="F36">
            <v>4199</v>
          </cell>
        </row>
        <row r="37">
          <cell r="F37">
            <v>20839</v>
          </cell>
        </row>
        <row r="38">
          <cell r="F38">
            <v>25038</v>
          </cell>
        </row>
        <row r="40">
          <cell r="F40">
            <v>362622</v>
          </cell>
        </row>
        <row r="41">
          <cell r="F41">
            <v>103</v>
          </cell>
        </row>
        <row r="42">
          <cell r="F42">
            <v>362725</v>
          </cell>
        </row>
        <row r="44">
          <cell r="F44">
            <v>-1044</v>
          </cell>
        </row>
        <row r="45">
          <cell r="F45">
            <v>-7501</v>
          </cell>
        </row>
        <row r="46">
          <cell r="F46">
            <v>-1736</v>
          </cell>
        </row>
        <row r="47">
          <cell r="F47">
            <v>-493</v>
          </cell>
        </row>
        <row r="48">
          <cell r="F48">
            <v>-722479</v>
          </cell>
        </row>
        <row r="49">
          <cell r="F49">
            <v>-3304945</v>
          </cell>
        </row>
        <row r="50">
          <cell r="F50">
            <v>-45750</v>
          </cell>
        </row>
        <row r="51">
          <cell r="F51">
            <v>-4647</v>
          </cell>
        </row>
        <row r="52">
          <cell r="F52">
            <v>-52449</v>
          </cell>
        </row>
        <row r="53">
          <cell r="F53">
            <v>-4141044</v>
          </cell>
        </row>
        <row r="54">
          <cell r="F54">
            <v>14259373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Investment property"/>
      <sheetName val="1510 LT Assets for sale"/>
      <sheetName val="Disclosure PPE"/>
      <sheetName val="PPE mvt"/>
      <sheetName val="PBC"/>
      <sheetName val="PBC2"/>
      <sheetName val="Related parties"/>
      <sheetName val="VAT refund"/>
      <sheetName val="PPE additions"/>
      <sheetName val="Investment property"/>
      <sheetName val="CIP"/>
      <sheetName val="CIP additions"/>
      <sheetName val="Depreciation"/>
      <sheetName val="PBC - Depreciation rates "/>
      <sheetName val="TDSheet"/>
      <sheetName val="SS calculation"/>
      <sheetName val="XREF"/>
      <sheetName val="Tickmarks"/>
    </sheetNames>
    <sheetDataSet>
      <sheetData sheetId="0"/>
      <sheetData sheetId="1">
        <row r="22">
          <cell r="M22">
            <v>84235.921870000006</v>
          </cell>
          <cell r="N22">
            <v>12033.70313</v>
          </cell>
        </row>
        <row r="24">
          <cell r="B24">
            <v>87640</v>
          </cell>
        </row>
      </sheetData>
      <sheetData sheetId="2"/>
      <sheetData sheetId="3">
        <row r="28">
          <cell r="U28">
            <v>50855.621679999997</v>
          </cell>
        </row>
        <row r="34">
          <cell r="M34">
            <v>133475.94144</v>
          </cell>
        </row>
      </sheetData>
      <sheetData sheetId="4"/>
      <sheetData sheetId="5"/>
      <sheetData sheetId="6"/>
      <sheetData sheetId="7"/>
      <sheetData sheetId="8"/>
      <sheetData sheetId="9">
        <row r="22">
          <cell r="C22">
            <v>84235.921870000006</v>
          </cell>
          <cell r="E22">
            <v>331323.31179000001</v>
          </cell>
          <cell r="G22">
            <v>20710.53572</v>
          </cell>
        </row>
        <row r="32">
          <cell r="C32">
            <v>345</v>
          </cell>
        </row>
      </sheetData>
      <sheetData sheetId="10">
        <row r="46">
          <cell r="O46">
            <v>108029.06165</v>
          </cell>
        </row>
        <row r="59">
          <cell r="C59">
            <v>133476.30546999999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ing"/>
      <sheetName val="Saipem TOD"/>
      <sheetName val="Ageing Test"/>
      <sheetName val="Late Cut-Off Test"/>
      <sheetName val="Early Cut-Off Test"/>
      <sheetName val="PBE Currency"/>
      <sheetName val="JET"/>
      <sheetName val="Tickmarks"/>
      <sheetName val="AST"/>
    </sheetNames>
    <sheetDataSet>
      <sheetData sheetId="0"/>
      <sheetData sheetId="1">
        <row r="33">
          <cell r="G33">
            <v>220607.73043000046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7" zoomScale="80" zoomScaleNormal="80" workbookViewId="0">
      <selection activeCell="D7" sqref="D7"/>
    </sheetView>
  </sheetViews>
  <sheetFormatPr defaultRowHeight="15"/>
  <cols>
    <col min="1" max="1" width="6.5703125" style="145" customWidth="1"/>
    <col min="2" max="2" width="19" style="145" customWidth="1"/>
    <col min="3" max="8" width="13.28515625" style="145" customWidth="1"/>
    <col min="9" max="256" width="8.5703125" style="145" customWidth="1"/>
    <col min="257" max="257" width="6.5703125" style="145" customWidth="1"/>
    <col min="258" max="258" width="19" style="145" customWidth="1"/>
    <col min="259" max="264" width="13.28515625" style="145" customWidth="1"/>
    <col min="265" max="512" width="8.5703125" style="145" customWidth="1"/>
    <col min="513" max="513" width="6.5703125" style="145" customWidth="1"/>
    <col min="514" max="514" width="19" style="145" customWidth="1"/>
    <col min="515" max="520" width="13.28515625" style="145" customWidth="1"/>
    <col min="521" max="768" width="8.5703125" style="145" customWidth="1"/>
    <col min="769" max="769" width="6.5703125" style="145" customWidth="1"/>
    <col min="770" max="770" width="19" style="145" customWidth="1"/>
    <col min="771" max="776" width="13.28515625" style="145" customWidth="1"/>
    <col min="777" max="1024" width="8.5703125" style="145" customWidth="1"/>
    <col min="1025" max="1025" width="6.5703125" style="145" customWidth="1"/>
    <col min="1026" max="1026" width="19" style="145" customWidth="1"/>
    <col min="1027" max="1032" width="13.28515625" style="145" customWidth="1"/>
    <col min="1033" max="1280" width="8.5703125" style="145" customWidth="1"/>
    <col min="1281" max="1281" width="6.5703125" style="145" customWidth="1"/>
    <col min="1282" max="1282" width="19" style="145" customWidth="1"/>
    <col min="1283" max="1288" width="13.28515625" style="145" customWidth="1"/>
    <col min="1289" max="1536" width="8.5703125" style="145" customWidth="1"/>
    <col min="1537" max="1537" width="6.5703125" style="145" customWidth="1"/>
    <col min="1538" max="1538" width="19" style="145" customWidth="1"/>
    <col min="1539" max="1544" width="13.28515625" style="145" customWidth="1"/>
    <col min="1545" max="1792" width="8.5703125" style="145" customWidth="1"/>
    <col min="1793" max="1793" width="6.5703125" style="145" customWidth="1"/>
    <col min="1794" max="1794" width="19" style="145" customWidth="1"/>
    <col min="1795" max="1800" width="13.28515625" style="145" customWidth="1"/>
    <col min="1801" max="2048" width="8.5703125" style="145" customWidth="1"/>
    <col min="2049" max="2049" width="6.5703125" style="145" customWidth="1"/>
    <col min="2050" max="2050" width="19" style="145" customWidth="1"/>
    <col min="2051" max="2056" width="13.28515625" style="145" customWidth="1"/>
    <col min="2057" max="2304" width="8.5703125" style="145" customWidth="1"/>
    <col min="2305" max="2305" width="6.5703125" style="145" customWidth="1"/>
    <col min="2306" max="2306" width="19" style="145" customWidth="1"/>
    <col min="2307" max="2312" width="13.28515625" style="145" customWidth="1"/>
    <col min="2313" max="2560" width="8.5703125" style="145" customWidth="1"/>
    <col min="2561" max="2561" width="6.5703125" style="145" customWidth="1"/>
    <col min="2562" max="2562" width="19" style="145" customWidth="1"/>
    <col min="2563" max="2568" width="13.28515625" style="145" customWidth="1"/>
    <col min="2569" max="2816" width="8.5703125" style="145" customWidth="1"/>
    <col min="2817" max="2817" width="6.5703125" style="145" customWidth="1"/>
    <col min="2818" max="2818" width="19" style="145" customWidth="1"/>
    <col min="2819" max="2824" width="13.28515625" style="145" customWidth="1"/>
    <col min="2825" max="3072" width="8.5703125" style="145" customWidth="1"/>
    <col min="3073" max="3073" width="6.5703125" style="145" customWidth="1"/>
    <col min="3074" max="3074" width="19" style="145" customWidth="1"/>
    <col min="3075" max="3080" width="13.28515625" style="145" customWidth="1"/>
    <col min="3081" max="3328" width="8.5703125" style="145" customWidth="1"/>
    <col min="3329" max="3329" width="6.5703125" style="145" customWidth="1"/>
    <col min="3330" max="3330" width="19" style="145" customWidth="1"/>
    <col min="3331" max="3336" width="13.28515625" style="145" customWidth="1"/>
    <col min="3337" max="3584" width="8.5703125" style="145" customWidth="1"/>
    <col min="3585" max="3585" width="6.5703125" style="145" customWidth="1"/>
    <col min="3586" max="3586" width="19" style="145" customWidth="1"/>
    <col min="3587" max="3592" width="13.28515625" style="145" customWidth="1"/>
    <col min="3593" max="3840" width="8.5703125" style="145" customWidth="1"/>
    <col min="3841" max="3841" width="6.5703125" style="145" customWidth="1"/>
    <col min="3842" max="3842" width="19" style="145" customWidth="1"/>
    <col min="3843" max="3848" width="13.28515625" style="145" customWidth="1"/>
    <col min="3849" max="4096" width="8.5703125" style="145" customWidth="1"/>
    <col min="4097" max="4097" width="6.5703125" style="145" customWidth="1"/>
    <col min="4098" max="4098" width="19" style="145" customWidth="1"/>
    <col min="4099" max="4104" width="13.28515625" style="145" customWidth="1"/>
    <col min="4105" max="4352" width="8.5703125" style="145" customWidth="1"/>
    <col min="4353" max="4353" width="6.5703125" style="145" customWidth="1"/>
    <col min="4354" max="4354" width="19" style="145" customWidth="1"/>
    <col min="4355" max="4360" width="13.28515625" style="145" customWidth="1"/>
    <col min="4361" max="4608" width="8.5703125" style="145" customWidth="1"/>
    <col min="4609" max="4609" width="6.5703125" style="145" customWidth="1"/>
    <col min="4610" max="4610" width="19" style="145" customWidth="1"/>
    <col min="4611" max="4616" width="13.28515625" style="145" customWidth="1"/>
    <col min="4617" max="4864" width="8.5703125" style="145" customWidth="1"/>
    <col min="4865" max="4865" width="6.5703125" style="145" customWidth="1"/>
    <col min="4866" max="4866" width="19" style="145" customWidth="1"/>
    <col min="4867" max="4872" width="13.28515625" style="145" customWidth="1"/>
    <col min="4873" max="5120" width="8.5703125" style="145" customWidth="1"/>
    <col min="5121" max="5121" width="6.5703125" style="145" customWidth="1"/>
    <col min="5122" max="5122" width="19" style="145" customWidth="1"/>
    <col min="5123" max="5128" width="13.28515625" style="145" customWidth="1"/>
    <col min="5129" max="5376" width="8.5703125" style="145" customWidth="1"/>
    <col min="5377" max="5377" width="6.5703125" style="145" customWidth="1"/>
    <col min="5378" max="5378" width="19" style="145" customWidth="1"/>
    <col min="5379" max="5384" width="13.28515625" style="145" customWidth="1"/>
    <col min="5385" max="5632" width="8.5703125" style="145" customWidth="1"/>
    <col min="5633" max="5633" width="6.5703125" style="145" customWidth="1"/>
    <col min="5634" max="5634" width="19" style="145" customWidth="1"/>
    <col min="5635" max="5640" width="13.28515625" style="145" customWidth="1"/>
    <col min="5641" max="5888" width="8.5703125" style="145" customWidth="1"/>
    <col min="5889" max="5889" width="6.5703125" style="145" customWidth="1"/>
    <col min="5890" max="5890" width="19" style="145" customWidth="1"/>
    <col min="5891" max="5896" width="13.28515625" style="145" customWidth="1"/>
    <col min="5897" max="6144" width="8.5703125" style="145" customWidth="1"/>
    <col min="6145" max="6145" width="6.5703125" style="145" customWidth="1"/>
    <col min="6146" max="6146" width="19" style="145" customWidth="1"/>
    <col min="6147" max="6152" width="13.28515625" style="145" customWidth="1"/>
    <col min="6153" max="6400" width="8.5703125" style="145" customWidth="1"/>
    <col min="6401" max="6401" width="6.5703125" style="145" customWidth="1"/>
    <col min="6402" max="6402" width="19" style="145" customWidth="1"/>
    <col min="6403" max="6408" width="13.28515625" style="145" customWidth="1"/>
    <col min="6409" max="6656" width="8.5703125" style="145" customWidth="1"/>
    <col min="6657" max="6657" width="6.5703125" style="145" customWidth="1"/>
    <col min="6658" max="6658" width="19" style="145" customWidth="1"/>
    <col min="6659" max="6664" width="13.28515625" style="145" customWidth="1"/>
    <col min="6665" max="6912" width="8.5703125" style="145" customWidth="1"/>
    <col min="6913" max="6913" width="6.5703125" style="145" customWidth="1"/>
    <col min="6914" max="6914" width="19" style="145" customWidth="1"/>
    <col min="6915" max="6920" width="13.28515625" style="145" customWidth="1"/>
    <col min="6921" max="7168" width="8.5703125" style="145" customWidth="1"/>
    <col min="7169" max="7169" width="6.5703125" style="145" customWidth="1"/>
    <col min="7170" max="7170" width="19" style="145" customWidth="1"/>
    <col min="7171" max="7176" width="13.28515625" style="145" customWidth="1"/>
    <col min="7177" max="7424" width="8.5703125" style="145" customWidth="1"/>
    <col min="7425" max="7425" width="6.5703125" style="145" customWidth="1"/>
    <col min="7426" max="7426" width="19" style="145" customWidth="1"/>
    <col min="7427" max="7432" width="13.28515625" style="145" customWidth="1"/>
    <col min="7433" max="7680" width="8.5703125" style="145" customWidth="1"/>
    <col min="7681" max="7681" width="6.5703125" style="145" customWidth="1"/>
    <col min="7682" max="7682" width="19" style="145" customWidth="1"/>
    <col min="7683" max="7688" width="13.28515625" style="145" customWidth="1"/>
    <col min="7689" max="7936" width="8.5703125" style="145" customWidth="1"/>
    <col min="7937" max="7937" width="6.5703125" style="145" customWidth="1"/>
    <col min="7938" max="7938" width="19" style="145" customWidth="1"/>
    <col min="7939" max="7944" width="13.28515625" style="145" customWidth="1"/>
    <col min="7945" max="8192" width="8.5703125" style="145" customWidth="1"/>
    <col min="8193" max="8193" width="6.5703125" style="145" customWidth="1"/>
    <col min="8194" max="8194" width="19" style="145" customWidth="1"/>
    <col min="8195" max="8200" width="13.28515625" style="145" customWidth="1"/>
    <col min="8201" max="8448" width="8.5703125" style="145" customWidth="1"/>
    <col min="8449" max="8449" width="6.5703125" style="145" customWidth="1"/>
    <col min="8450" max="8450" width="19" style="145" customWidth="1"/>
    <col min="8451" max="8456" width="13.28515625" style="145" customWidth="1"/>
    <col min="8457" max="8704" width="8.5703125" style="145" customWidth="1"/>
    <col min="8705" max="8705" width="6.5703125" style="145" customWidth="1"/>
    <col min="8706" max="8706" width="19" style="145" customWidth="1"/>
    <col min="8707" max="8712" width="13.28515625" style="145" customWidth="1"/>
    <col min="8713" max="8960" width="8.5703125" style="145" customWidth="1"/>
    <col min="8961" max="8961" width="6.5703125" style="145" customWidth="1"/>
    <col min="8962" max="8962" width="19" style="145" customWidth="1"/>
    <col min="8963" max="8968" width="13.28515625" style="145" customWidth="1"/>
    <col min="8969" max="9216" width="8.5703125" style="145" customWidth="1"/>
    <col min="9217" max="9217" width="6.5703125" style="145" customWidth="1"/>
    <col min="9218" max="9218" width="19" style="145" customWidth="1"/>
    <col min="9219" max="9224" width="13.28515625" style="145" customWidth="1"/>
    <col min="9225" max="9472" width="8.5703125" style="145" customWidth="1"/>
    <col min="9473" max="9473" width="6.5703125" style="145" customWidth="1"/>
    <col min="9474" max="9474" width="19" style="145" customWidth="1"/>
    <col min="9475" max="9480" width="13.28515625" style="145" customWidth="1"/>
    <col min="9481" max="9728" width="8.5703125" style="145" customWidth="1"/>
    <col min="9729" max="9729" width="6.5703125" style="145" customWidth="1"/>
    <col min="9730" max="9730" width="19" style="145" customWidth="1"/>
    <col min="9731" max="9736" width="13.28515625" style="145" customWidth="1"/>
    <col min="9737" max="9984" width="8.5703125" style="145" customWidth="1"/>
    <col min="9985" max="9985" width="6.5703125" style="145" customWidth="1"/>
    <col min="9986" max="9986" width="19" style="145" customWidth="1"/>
    <col min="9987" max="9992" width="13.28515625" style="145" customWidth="1"/>
    <col min="9993" max="10240" width="8.5703125" style="145" customWidth="1"/>
    <col min="10241" max="10241" width="6.5703125" style="145" customWidth="1"/>
    <col min="10242" max="10242" width="19" style="145" customWidth="1"/>
    <col min="10243" max="10248" width="13.28515625" style="145" customWidth="1"/>
    <col min="10249" max="10496" width="8.5703125" style="145" customWidth="1"/>
    <col min="10497" max="10497" width="6.5703125" style="145" customWidth="1"/>
    <col min="10498" max="10498" width="19" style="145" customWidth="1"/>
    <col min="10499" max="10504" width="13.28515625" style="145" customWidth="1"/>
    <col min="10505" max="10752" width="8.5703125" style="145" customWidth="1"/>
    <col min="10753" max="10753" width="6.5703125" style="145" customWidth="1"/>
    <col min="10754" max="10754" width="19" style="145" customWidth="1"/>
    <col min="10755" max="10760" width="13.28515625" style="145" customWidth="1"/>
    <col min="10761" max="11008" width="8.5703125" style="145" customWidth="1"/>
    <col min="11009" max="11009" width="6.5703125" style="145" customWidth="1"/>
    <col min="11010" max="11010" width="19" style="145" customWidth="1"/>
    <col min="11011" max="11016" width="13.28515625" style="145" customWidth="1"/>
    <col min="11017" max="11264" width="8.5703125" style="145" customWidth="1"/>
    <col min="11265" max="11265" width="6.5703125" style="145" customWidth="1"/>
    <col min="11266" max="11266" width="19" style="145" customWidth="1"/>
    <col min="11267" max="11272" width="13.28515625" style="145" customWidth="1"/>
    <col min="11273" max="11520" width="8.5703125" style="145" customWidth="1"/>
    <col min="11521" max="11521" width="6.5703125" style="145" customWidth="1"/>
    <col min="11522" max="11522" width="19" style="145" customWidth="1"/>
    <col min="11523" max="11528" width="13.28515625" style="145" customWidth="1"/>
    <col min="11529" max="11776" width="8.5703125" style="145" customWidth="1"/>
    <col min="11777" max="11777" width="6.5703125" style="145" customWidth="1"/>
    <col min="11778" max="11778" width="19" style="145" customWidth="1"/>
    <col min="11779" max="11784" width="13.28515625" style="145" customWidth="1"/>
    <col min="11785" max="12032" width="8.5703125" style="145" customWidth="1"/>
    <col min="12033" max="12033" width="6.5703125" style="145" customWidth="1"/>
    <col min="12034" max="12034" width="19" style="145" customWidth="1"/>
    <col min="12035" max="12040" width="13.28515625" style="145" customWidth="1"/>
    <col min="12041" max="12288" width="8.5703125" style="145" customWidth="1"/>
    <col min="12289" max="12289" width="6.5703125" style="145" customWidth="1"/>
    <col min="12290" max="12290" width="19" style="145" customWidth="1"/>
    <col min="12291" max="12296" width="13.28515625" style="145" customWidth="1"/>
    <col min="12297" max="12544" width="8.5703125" style="145" customWidth="1"/>
    <col min="12545" max="12545" width="6.5703125" style="145" customWidth="1"/>
    <col min="12546" max="12546" width="19" style="145" customWidth="1"/>
    <col min="12547" max="12552" width="13.28515625" style="145" customWidth="1"/>
    <col min="12553" max="12800" width="8.5703125" style="145" customWidth="1"/>
    <col min="12801" max="12801" width="6.5703125" style="145" customWidth="1"/>
    <col min="12802" max="12802" width="19" style="145" customWidth="1"/>
    <col min="12803" max="12808" width="13.28515625" style="145" customWidth="1"/>
    <col min="12809" max="13056" width="8.5703125" style="145" customWidth="1"/>
    <col min="13057" max="13057" width="6.5703125" style="145" customWidth="1"/>
    <col min="13058" max="13058" width="19" style="145" customWidth="1"/>
    <col min="13059" max="13064" width="13.28515625" style="145" customWidth="1"/>
    <col min="13065" max="13312" width="8.5703125" style="145" customWidth="1"/>
    <col min="13313" max="13313" width="6.5703125" style="145" customWidth="1"/>
    <col min="13314" max="13314" width="19" style="145" customWidth="1"/>
    <col min="13315" max="13320" width="13.28515625" style="145" customWidth="1"/>
    <col min="13321" max="13568" width="8.5703125" style="145" customWidth="1"/>
    <col min="13569" max="13569" width="6.5703125" style="145" customWidth="1"/>
    <col min="13570" max="13570" width="19" style="145" customWidth="1"/>
    <col min="13571" max="13576" width="13.28515625" style="145" customWidth="1"/>
    <col min="13577" max="13824" width="8.5703125" style="145" customWidth="1"/>
    <col min="13825" max="13825" width="6.5703125" style="145" customWidth="1"/>
    <col min="13826" max="13826" width="19" style="145" customWidth="1"/>
    <col min="13827" max="13832" width="13.28515625" style="145" customWidth="1"/>
    <col min="13833" max="14080" width="8.5703125" style="145" customWidth="1"/>
    <col min="14081" max="14081" width="6.5703125" style="145" customWidth="1"/>
    <col min="14082" max="14082" width="19" style="145" customWidth="1"/>
    <col min="14083" max="14088" width="13.28515625" style="145" customWidth="1"/>
    <col min="14089" max="14336" width="8.5703125" style="145" customWidth="1"/>
    <col min="14337" max="14337" width="6.5703125" style="145" customWidth="1"/>
    <col min="14338" max="14338" width="19" style="145" customWidth="1"/>
    <col min="14339" max="14344" width="13.28515625" style="145" customWidth="1"/>
    <col min="14345" max="14592" width="8.5703125" style="145" customWidth="1"/>
    <col min="14593" max="14593" width="6.5703125" style="145" customWidth="1"/>
    <col min="14594" max="14594" width="19" style="145" customWidth="1"/>
    <col min="14595" max="14600" width="13.28515625" style="145" customWidth="1"/>
    <col min="14601" max="14848" width="8.5703125" style="145" customWidth="1"/>
    <col min="14849" max="14849" width="6.5703125" style="145" customWidth="1"/>
    <col min="14850" max="14850" width="19" style="145" customWidth="1"/>
    <col min="14851" max="14856" width="13.28515625" style="145" customWidth="1"/>
    <col min="14857" max="15104" width="8.5703125" style="145" customWidth="1"/>
    <col min="15105" max="15105" width="6.5703125" style="145" customWidth="1"/>
    <col min="15106" max="15106" width="19" style="145" customWidth="1"/>
    <col min="15107" max="15112" width="13.28515625" style="145" customWidth="1"/>
    <col min="15113" max="15360" width="8.5703125" style="145" customWidth="1"/>
    <col min="15361" max="15361" width="6.5703125" style="145" customWidth="1"/>
    <col min="15362" max="15362" width="19" style="145" customWidth="1"/>
    <col min="15363" max="15368" width="13.28515625" style="145" customWidth="1"/>
    <col min="15369" max="15616" width="8.5703125" style="145" customWidth="1"/>
    <col min="15617" max="15617" width="6.5703125" style="145" customWidth="1"/>
    <col min="15618" max="15618" width="19" style="145" customWidth="1"/>
    <col min="15619" max="15624" width="13.28515625" style="145" customWidth="1"/>
    <col min="15625" max="15872" width="8.5703125" style="145" customWidth="1"/>
    <col min="15873" max="15873" width="6.5703125" style="145" customWidth="1"/>
    <col min="15874" max="15874" width="19" style="145" customWidth="1"/>
    <col min="15875" max="15880" width="13.28515625" style="145" customWidth="1"/>
    <col min="15881" max="16128" width="8.5703125" style="145" customWidth="1"/>
    <col min="16129" max="16129" width="6.5703125" style="145" customWidth="1"/>
    <col min="16130" max="16130" width="19" style="145" customWidth="1"/>
    <col min="16131" max="16136" width="13.28515625" style="145" customWidth="1"/>
    <col min="16137" max="16384" width="8.5703125" style="145" customWidth="1"/>
  </cols>
  <sheetData>
    <row r="1" spans="1:8" s="760" customFormat="1"/>
    <row r="2" spans="1:8" ht="15.75">
      <c r="A2" s="306" t="s">
        <v>460</v>
      </c>
      <c r="B2" s="307"/>
      <c r="C2" s="307"/>
      <c r="D2" s="307"/>
      <c r="E2" s="307"/>
      <c r="F2" s="307"/>
      <c r="G2" s="307"/>
      <c r="H2" s="307"/>
    </row>
    <row r="3" spans="1:8" ht="16.5" thickBot="1">
      <c r="A3" s="306" t="s">
        <v>3143</v>
      </c>
      <c r="B3" s="307"/>
      <c r="C3" s="307"/>
      <c r="D3" s="307"/>
      <c r="E3" s="307"/>
      <c r="F3" s="307"/>
      <c r="G3" s="307"/>
      <c r="H3" s="307"/>
    </row>
    <row r="4" spans="1:8">
      <c r="A4" s="761" t="s">
        <v>342</v>
      </c>
      <c r="B4" s="762"/>
      <c r="C4" s="763" t="s">
        <v>51</v>
      </c>
      <c r="D4" s="762"/>
      <c r="E4" s="763" t="s">
        <v>52</v>
      </c>
      <c r="F4" s="762"/>
      <c r="G4" s="763" t="s">
        <v>53</v>
      </c>
      <c r="H4" s="764"/>
    </row>
    <row r="5" spans="1:8" ht="15.75" thickBot="1">
      <c r="A5" s="765" t="s">
        <v>463</v>
      </c>
      <c r="B5" s="766" t="s">
        <v>464</v>
      </c>
      <c r="C5" s="767" t="s">
        <v>54</v>
      </c>
      <c r="D5" s="767" t="s">
        <v>55</v>
      </c>
      <c r="E5" s="767" t="s">
        <v>54</v>
      </c>
      <c r="F5" s="767" t="s">
        <v>55</v>
      </c>
      <c r="G5" s="767" t="s">
        <v>54</v>
      </c>
      <c r="H5" s="768" t="s">
        <v>55</v>
      </c>
    </row>
    <row r="6" spans="1:8">
      <c r="A6" s="769" t="s">
        <v>608</v>
      </c>
      <c r="B6" s="770" t="s">
        <v>609</v>
      </c>
      <c r="C6" s="771">
        <v>71522</v>
      </c>
      <c r="D6" s="772" t="s">
        <v>461</v>
      </c>
      <c r="E6" s="772" t="s">
        <v>461</v>
      </c>
      <c r="F6" s="772" t="s">
        <v>461</v>
      </c>
      <c r="G6" s="771">
        <v>71522</v>
      </c>
      <c r="H6" s="773" t="s">
        <v>461</v>
      </c>
    </row>
    <row r="7" spans="1:8">
      <c r="A7" s="769" t="s">
        <v>610</v>
      </c>
      <c r="B7" s="770" t="s">
        <v>611</v>
      </c>
      <c r="C7" s="772" t="s">
        <v>461</v>
      </c>
      <c r="D7" s="771">
        <v>71522</v>
      </c>
      <c r="E7" s="772" t="s">
        <v>461</v>
      </c>
      <c r="F7" s="772" t="s">
        <v>461</v>
      </c>
      <c r="G7" s="772" t="s">
        <v>461</v>
      </c>
      <c r="H7" s="774">
        <v>71522</v>
      </c>
    </row>
    <row r="8" spans="1:8">
      <c r="A8" s="769" t="s">
        <v>612</v>
      </c>
      <c r="B8" s="770" t="s">
        <v>613</v>
      </c>
      <c r="C8" s="771">
        <v>19825</v>
      </c>
      <c r="D8" s="772" t="s">
        <v>461</v>
      </c>
      <c r="E8" s="772" t="s">
        <v>461</v>
      </c>
      <c r="F8" s="772" t="s">
        <v>461</v>
      </c>
      <c r="G8" s="771">
        <v>19825</v>
      </c>
      <c r="H8" s="773" t="s">
        <v>461</v>
      </c>
    </row>
    <row r="9" spans="1:8">
      <c r="A9" s="769" t="s">
        <v>614</v>
      </c>
      <c r="B9" s="770" t="s">
        <v>615</v>
      </c>
      <c r="C9" s="772" t="s">
        <v>461</v>
      </c>
      <c r="D9" s="771">
        <v>19825</v>
      </c>
      <c r="E9" s="772" t="s">
        <v>461</v>
      </c>
      <c r="F9" s="772" t="s">
        <v>461</v>
      </c>
      <c r="G9" s="772" t="s">
        <v>461</v>
      </c>
      <c r="H9" s="774">
        <v>19825</v>
      </c>
    </row>
    <row r="10" spans="1:8">
      <c r="A10" s="769" t="s">
        <v>616</v>
      </c>
      <c r="B10" s="770" t="s">
        <v>490</v>
      </c>
      <c r="C10" s="771">
        <v>11859.68</v>
      </c>
      <c r="D10" s="772" t="s">
        <v>461</v>
      </c>
      <c r="E10" s="772" t="s">
        <v>461</v>
      </c>
      <c r="F10" s="772" t="s">
        <v>461</v>
      </c>
      <c r="G10" s="771">
        <v>11859.68</v>
      </c>
      <c r="H10" s="773" t="s">
        <v>461</v>
      </c>
    </row>
    <row r="11" spans="1:8">
      <c r="A11" s="769" t="s">
        <v>3144</v>
      </c>
      <c r="B11" s="770" t="s">
        <v>617</v>
      </c>
      <c r="C11" s="771">
        <v>6709714.2999999998</v>
      </c>
      <c r="D11" s="772" t="s">
        <v>461</v>
      </c>
      <c r="E11" s="772" t="s">
        <v>461</v>
      </c>
      <c r="F11" s="772" t="s">
        <v>461</v>
      </c>
      <c r="G11" s="771">
        <v>6709714.2999999998</v>
      </c>
      <c r="H11" s="773" t="s">
        <v>461</v>
      </c>
    </row>
    <row r="12" spans="1:8">
      <c r="A12" s="769" t="s">
        <v>618</v>
      </c>
      <c r="B12" s="770" t="s">
        <v>617</v>
      </c>
      <c r="C12" s="771">
        <v>6709714.2999999998</v>
      </c>
      <c r="D12" s="772" t="s">
        <v>461</v>
      </c>
      <c r="E12" s="772" t="s">
        <v>461</v>
      </c>
      <c r="F12" s="772" t="s">
        <v>461</v>
      </c>
      <c r="G12" s="771">
        <v>6709714.2999999998</v>
      </c>
      <c r="H12" s="773" t="s">
        <v>461</v>
      </c>
    </row>
    <row r="13" spans="1:8">
      <c r="A13" s="769" t="s">
        <v>619</v>
      </c>
      <c r="B13" s="770" t="s">
        <v>620</v>
      </c>
      <c r="C13" s="771">
        <v>6793776.6299999999</v>
      </c>
      <c r="D13" s="772" t="s">
        <v>461</v>
      </c>
      <c r="E13" s="772" t="s">
        <v>461</v>
      </c>
      <c r="F13" s="772" t="s">
        <v>461</v>
      </c>
      <c r="G13" s="771">
        <v>6793776.6299999999</v>
      </c>
      <c r="H13" s="773" t="s">
        <v>461</v>
      </c>
    </row>
    <row r="14" spans="1:8">
      <c r="A14" s="769" t="s">
        <v>3145</v>
      </c>
      <c r="B14" s="770" t="s">
        <v>3146</v>
      </c>
      <c r="C14" s="772" t="s">
        <v>461</v>
      </c>
      <c r="D14" s="771">
        <v>9247</v>
      </c>
      <c r="E14" s="772" t="s">
        <v>461</v>
      </c>
      <c r="F14" s="772" t="s">
        <v>461</v>
      </c>
      <c r="G14" s="772" t="s">
        <v>461</v>
      </c>
      <c r="H14" s="774">
        <v>9247</v>
      </c>
    </row>
    <row r="15" spans="1:8">
      <c r="A15" s="769" t="s">
        <v>621</v>
      </c>
      <c r="B15" s="770" t="s">
        <v>622</v>
      </c>
      <c r="C15" s="772" t="s">
        <v>461</v>
      </c>
      <c r="D15" s="771">
        <v>9247</v>
      </c>
      <c r="E15" s="772" t="s">
        <v>461</v>
      </c>
      <c r="F15" s="772" t="s">
        <v>461</v>
      </c>
      <c r="G15" s="772" t="s">
        <v>461</v>
      </c>
      <c r="H15" s="774">
        <v>9247</v>
      </c>
    </row>
    <row r="16" spans="1:8">
      <c r="A16" s="769" t="s">
        <v>3147</v>
      </c>
      <c r="B16" s="770" t="s">
        <v>3148</v>
      </c>
      <c r="C16" s="775">
        <v>151.65</v>
      </c>
      <c r="D16" s="772" t="s">
        <v>461</v>
      </c>
      <c r="E16" s="772" t="s">
        <v>461</v>
      </c>
      <c r="F16" s="772" t="s">
        <v>461</v>
      </c>
      <c r="G16" s="775">
        <v>151.65</v>
      </c>
      <c r="H16" s="773" t="s">
        <v>461</v>
      </c>
    </row>
    <row r="17" spans="1:8">
      <c r="A17" s="769" t="s">
        <v>623</v>
      </c>
      <c r="B17" s="770" t="s">
        <v>624</v>
      </c>
      <c r="C17" s="775">
        <v>151.65</v>
      </c>
      <c r="D17" s="772" t="s">
        <v>461</v>
      </c>
      <c r="E17" s="772" t="s">
        <v>461</v>
      </c>
      <c r="F17" s="772" t="s">
        <v>461</v>
      </c>
      <c r="G17" s="775">
        <v>151.65</v>
      </c>
      <c r="H17" s="773" t="s">
        <v>461</v>
      </c>
    </row>
    <row r="18" spans="1:8">
      <c r="A18" s="769" t="s">
        <v>3149</v>
      </c>
      <c r="B18" s="770" t="s">
        <v>3150</v>
      </c>
      <c r="C18" s="771">
        <v>2285.84</v>
      </c>
      <c r="D18" s="772" t="s">
        <v>461</v>
      </c>
      <c r="E18" s="772" t="s">
        <v>461</v>
      </c>
      <c r="F18" s="772" t="s">
        <v>461</v>
      </c>
      <c r="G18" s="771">
        <v>2285.84</v>
      </c>
      <c r="H18" s="773" t="s">
        <v>461</v>
      </c>
    </row>
    <row r="19" spans="1:8">
      <c r="A19" s="769" t="s">
        <v>625</v>
      </c>
      <c r="B19" s="770" t="s">
        <v>626</v>
      </c>
      <c r="C19" s="771">
        <v>2285.84</v>
      </c>
      <c r="D19" s="772" t="s">
        <v>461</v>
      </c>
      <c r="E19" s="772" t="s">
        <v>461</v>
      </c>
      <c r="F19" s="772" t="s">
        <v>461</v>
      </c>
      <c r="G19" s="771">
        <v>2285.84</v>
      </c>
      <c r="H19" s="773" t="s">
        <v>461</v>
      </c>
    </row>
    <row r="20" spans="1:8">
      <c r="A20" s="769" t="s">
        <v>627</v>
      </c>
      <c r="B20" s="770" t="s">
        <v>628</v>
      </c>
      <c r="C20" s="772" t="s">
        <v>461</v>
      </c>
      <c r="D20" s="771">
        <v>1000000</v>
      </c>
      <c r="E20" s="772" t="s">
        <v>461</v>
      </c>
      <c r="F20" s="772" t="s">
        <v>461</v>
      </c>
      <c r="G20" s="772" t="s">
        <v>461</v>
      </c>
      <c r="H20" s="774">
        <v>1000000</v>
      </c>
    </row>
    <row r="21" spans="1:8">
      <c r="A21" s="769" t="s">
        <v>629</v>
      </c>
      <c r="B21" s="770" t="s">
        <v>630</v>
      </c>
      <c r="C21" s="771">
        <v>22747503.949999999</v>
      </c>
      <c r="D21" s="772" t="s">
        <v>461</v>
      </c>
      <c r="E21" s="772" t="s">
        <v>461</v>
      </c>
      <c r="F21" s="772" t="s">
        <v>461</v>
      </c>
      <c r="G21" s="771">
        <v>22747503.949999999</v>
      </c>
      <c r="H21" s="773" t="s">
        <v>461</v>
      </c>
    </row>
    <row r="22" spans="1:8">
      <c r="A22" s="769" t="s">
        <v>631</v>
      </c>
      <c r="B22" s="770" t="s">
        <v>632</v>
      </c>
      <c r="C22" s="771">
        <v>85704367.379999995</v>
      </c>
      <c r="D22" s="772" t="s">
        <v>461</v>
      </c>
      <c r="E22" s="772" t="s">
        <v>461</v>
      </c>
      <c r="F22" s="772" t="s">
        <v>461</v>
      </c>
      <c r="G22" s="771">
        <v>85704367.379999995</v>
      </c>
      <c r="H22" s="773" t="s">
        <v>461</v>
      </c>
    </row>
    <row r="23" spans="1:8">
      <c r="A23" s="769" t="s">
        <v>3151</v>
      </c>
      <c r="B23" s="770" t="s">
        <v>3152</v>
      </c>
      <c r="C23" s="772" t="s">
        <v>461</v>
      </c>
      <c r="D23" s="771">
        <v>-330916</v>
      </c>
      <c r="E23" s="772" t="s">
        <v>461</v>
      </c>
      <c r="F23" s="772" t="s">
        <v>461</v>
      </c>
      <c r="G23" s="772" t="s">
        <v>461</v>
      </c>
      <c r="H23" s="774">
        <v>-330916</v>
      </c>
    </row>
    <row r="24" spans="1:8">
      <c r="A24" s="769" t="s">
        <v>633</v>
      </c>
      <c r="B24" s="770" t="s">
        <v>634</v>
      </c>
      <c r="C24" s="772" t="s">
        <v>461</v>
      </c>
      <c r="D24" s="771">
        <v>-330916</v>
      </c>
      <c r="E24" s="772" t="s">
        <v>461</v>
      </c>
      <c r="F24" s="772" t="s">
        <v>461</v>
      </c>
      <c r="G24" s="772" t="s">
        <v>461</v>
      </c>
      <c r="H24" s="774">
        <v>-330916</v>
      </c>
    </row>
    <row r="25" spans="1:8">
      <c r="A25" s="769" t="s">
        <v>3153</v>
      </c>
      <c r="B25" s="770" t="s">
        <v>494</v>
      </c>
      <c r="C25" s="772" t="s">
        <v>461</v>
      </c>
      <c r="D25" s="771">
        <v>-218587.7</v>
      </c>
      <c r="E25" s="772" t="s">
        <v>461</v>
      </c>
      <c r="F25" s="772" t="s">
        <v>461</v>
      </c>
      <c r="G25" s="772" t="s">
        <v>461</v>
      </c>
      <c r="H25" s="774">
        <v>-218587.7</v>
      </c>
    </row>
    <row r="26" spans="1:8">
      <c r="A26" s="769" t="s">
        <v>635</v>
      </c>
      <c r="B26" s="770" t="s">
        <v>636</v>
      </c>
      <c r="C26" s="772" t="s">
        <v>461</v>
      </c>
      <c r="D26" s="771">
        <v>-218587.7</v>
      </c>
      <c r="E26" s="772" t="s">
        <v>461</v>
      </c>
      <c r="F26" s="772" t="s">
        <v>461</v>
      </c>
      <c r="G26" s="772" t="s">
        <v>461</v>
      </c>
      <c r="H26" s="774">
        <v>-218587.7</v>
      </c>
    </row>
    <row r="27" spans="1:8">
      <c r="A27" s="769" t="s">
        <v>3154</v>
      </c>
      <c r="B27" s="770" t="s">
        <v>525</v>
      </c>
      <c r="C27" s="771">
        <v>22967.21</v>
      </c>
      <c r="D27" s="772" t="s">
        <v>461</v>
      </c>
      <c r="E27" s="772" t="s">
        <v>461</v>
      </c>
      <c r="F27" s="772" t="s">
        <v>461</v>
      </c>
      <c r="G27" s="771">
        <v>22967.21</v>
      </c>
      <c r="H27" s="773" t="s">
        <v>461</v>
      </c>
    </row>
    <row r="28" spans="1:8">
      <c r="A28" s="769" t="s">
        <v>637</v>
      </c>
      <c r="B28" s="770" t="s">
        <v>638</v>
      </c>
      <c r="C28" s="771">
        <v>15449.39</v>
      </c>
      <c r="D28" s="772" t="s">
        <v>461</v>
      </c>
      <c r="E28" s="772" t="s">
        <v>461</v>
      </c>
      <c r="F28" s="772" t="s">
        <v>461</v>
      </c>
      <c r="G28" s="771">
        <v>15449.39</v>
      </c>
      <c r="H28" s="773" t="s">
        <v>461</v>
      </c>
    </row>
    <row r="29" spans="1:8">
      <c r="A29" s="769" t="s">
        <v>639</v>
      </c>
      <c r="B29" s="770" t="s">
        <v>640</v>
      </c>
      <c r="C29" s="771">
        <v>7517.82</v>
      </c>
      <c r="D29" s="772" t="s">
        <v>461</v>
      </c>
      <c r="E29" s="772" t="s">
        <v>461</v>
      </c>
      <c r="F29" s="772" t="s">
        <v>461</v>
      </c>
      <c r="G29" s="771">
        <v>7517.82</v>
      </c>
      <c r="H29" s="773" t="s">
        <v>461</v>
      </c>
    </row>
    <row r="30" spans="1:8">
      <c r="A30" s="769" t="s">
        <v>641</v>
      </c>
      <c r="B30" s="770" t="s">
        <v>527</v>
      </c>
      <c r="C30" s="771">
        <v>4517</v>
      </c>
      <c r="D30" s="772" t="s">
        <v>461</v>
      </c>
      <c r="E30" s="772" t="s">
        <v>461</v>
      </c>
      <c r="F30" s="772" t="s">
        <v>461</v>
      </c>
      <c r="G30" s="771">
        <v>4517</v>
      </c>
      <c r="H30" s="773" t="s">
        <v>461</v>
      </c>
    </row>
    <row r="31" spans="1:8">
      <c r="A31" s="769" t="s">
        <v>642</v>
      </c>
      <c r="B31" s="770" t="s">
        <v>531</v>
      </c>
      <c r="C31" s="771">
        <v>66780</v>
      </c>
      <c r="D31" s="772" t="s">
        <v>461</v>
      </c>
      <c r="E31" s="772" t="s">
        <v>461</v>
      </c>
      <c r="F31" s="772" t="s">
        <v>461</v>
      </c>
      <c r="G31" s="771">
        <v>66780</v>
      </c>
      <c r="H31" s="773" t="s">
        <v>461</v>
      </c>
    </row>
    <row r="32" spans="1:8">
      <c r="A32" s="769" t="s">
        <v>643</v>
      </c>
      <c r="B32" s="770" t="s">
        <v>644</v>
      </c>
      <c r="C32" s="771">
        <v>62733</v>
      </c>
      <c r="D32" s="772" t="s">
        <v>461</v>
      </c>
      <c r="E32" s="772" t="s">
        <v>461</v>
      </c>
      <c r="F32" s="772" t="s">
        <v>461</v>
      </c>
      <c r="G32" s="771">
        <v>62733</v>
      </c>
      <c r="H32" s="773" t="s">
        <v>461</v>
      </c>
    </row>
    <row r="33" spans="1:8">
      <c r="A33" s="769" t="s">
        <v>3155</v>
      </c>
      <c r="B33" s="770" t="s">
        <v>3156</v>
      </c>
      <c r="C33" s="771">
        <v>127755.15</v>
      </c>
      <c r="D33" s="772" t="s">
        <v>461</v>
      </c>
      <c r="E33" s="772" t="s">
        <v>461</v>
      </c>
      <c r="F33" s="772" t="s">
        <v>461</v>
      </c>
      <c r="G33" s="771">
        <v>127755.15</v>
      </c>
      <c r="H33" s="773" t="s">
        <v>461</v>
      </c>
    </row>
    <row r="34" spans="1:8">
      <c r="A34" s="769" t="s">
        <v>645</v>
      </c>
      <c r="B34" s="770" t="s">
        <v>522</v>
      </c>
      <c r="C34" s="771">
        <v>124131.66</v>
      </c>
      <c r="D34" s="772" t="s">
        <v>461</v>
      </c>
      <c r="E34" s="772" t="s">
        <v>461</v>
      </c>
      <c r="F34" s="772" t="s">
        <v>461</v>
      </c>
      <c r="G34" s="771">
        <v>124131.66</v>
      </c>
      <c r="H34" s="773" t="s">
        <v>461</v>
      </c>
    </row>
    <row r="35" spans="1:8">
      <c r="A35" s="769" t="s">
        <v>646</v>
      </c>
      <c r="B35" s="770" t="s">
        <v>647</v>
      </c>
      <c r="C35" s="771">
        <v>3566.49</v>
      </c>
      <c r="D35" s="772" t="s">
        <v>461</v>
      </c>
      <c r="E35" s="772" t="s">
        <v>461</v>
      </c>
      <c r="F35" s="772" t="s">
        <v>461</v>
      </c>
      <c r="G35" s="771">
        <v>3566.49</v>
      </c>
      <c r="H35" s="773" t="s">
        <v>461</v>
      </c>
    </row>
    <row r="36" spans="1:8">
      <c r="A36" s="769" t="s">
        <v>648</v>
      </c>
      <c r="B36" s="770" t="s">
        <v>649</v>
      </c>
      <c r="C36" s="775">
        <v>57</v>
      </c>
      <c r="D36" s="772" t="s">
        <v>461</v>
      </c>
      <c r="E36" s="772" t="s">
        <v>461</v>
      </c>
      <c r="F36" s="772" t="s">
        <v>461</v>
      </c>
      <c r="G36" s="775">
        <v>57</v>
      </c>
      <c r="H36" s="773" t="s">
        <v>461</v>
      </c>
    </row>
    <row r="37" spans="1:8">
      <c r="A37" s="769" t="s">
        <v>650</v>
      </c>
      <c r="B37" s="770" t="s">
        <v>651</v>
      </c>
      <c r="C37" s="772" t="s">
        <v>461</v>
      </c>
      <c r="D37" s="771">
        <v>115072719.63</v>
      </c>
      <c r="E37" s="772" t="s">
        <v>461</v>
      </c>
      <c r="F37" s="772" t="s">
        <v>461</v>
      </c>
      <c r="G37" s="772" t="s">
        <v>461</v>
      </c>
      <c r="H37" s="774">
        <v>115072719.63</v>
      </c>
    </row>
    <row r="38" spans="1:8">
      <c r="A38" s="769" t="s">
        <v>652</v>
      </c>
      <c r="B38" s="770" t="s">
        <v>653</v>
      </c>
      <c r="C38" s="772" t="s">
        <v>461</v>
      </c>
      <c r="D38" s="771">
        <v>6709714.2999999998</v>
      </c>
      <c r="E38" s="772" t="s">
        <v>461</v>
      </c>
      <c r="F38" s="772" t="s">
        <v>461</v>
      </c>
      <c r="G38" s="772" t="s">
        <v>461</v>
      </c>
      <c r="H38" s="774">
        <v>6709714.2999999998</v>
      </c>
    </row>
    <row r="39" spans="1:8">
      <c r="A39" s="769" t="s">
        <v>3157</v>
      </c>
      <c r="B39" s="770" t="s">
        <v>3158</v>
      </c>
      <c r="C39" s="772" t="s">
        <v>461</v>
      </c>
      <c r="D39" s="775">
        <v>0.5</v>
      </c>
      <c r="E39" s="772" t="s">
        <v>461</v>
      </c>
      <c r="F39" s="772" t="s">
        <v>461</v>
      </c>
      <c r="G39" s="772" t="s">
        <v>461</v>
      </c>
      <c r="H39" s="776">
        <v>0.5</v>
      </c>
    </row>
    <row r="40" spans="1:8">
      <c r="A40" s="769" t="s">
        <v>654</v>
      </c>
      <c r="B40" s="770" t="s">
        <v>655</v>
      </c>
      <c r="C40" s="772" t="s">
        <v>461</v>
      </c>
      <c r="D40" s="775">
        <v>0.5</v>
      </c>
      <c r="E40" s="772" t="s">
        <v>461</v>
      </c>
      <c r="F40" s="772" t="s">
        <v>461</v>
      </c>
      <c r="G40" s="772" t="s">
        <v>461</v>
      </c>
      <c r="H40" s="776">
        <v>0.5</v>
      </c>
    </row>
    <row r="41" spans="1:8">
      <c r="A41" s="769" t="s">
        <v>3159</v>
      </c>
      <c r="B41" s="770" t="s">
        <v>3160</v>
      </c>
      <c r="C41" s="772" t="s">
        <v>461</v>
      </c>
      <c r="D41" s="771">
        <v>114428.48</v>
      </c>
      <c r="E41" s="772" t="s">
        <v>461</v>
      </c>
      <c r="F41" s="772" t="s">
        <v>461</v>
      </c>
      <c r="G41" s="772" t="s">
        <v>461</v>
      </c>
      <c r="H41" s="774">
        <v>114428.48</v>
      </c>
    </row>
    <row r="42" spans="1:8">
      <c r="A42" s="769" t="s">
        <v>656</v>
      </c>
      <c r="B42" s="770" t="s">
        <v>657</v>
      </c>
      <c r="C42" s="772" t="s">
        <v>461</v>
      </c>
      <c r="D42" s="771">
        <v>108947.12</v>
      </c>
      <c r="E42" s="772" t="s">
        <v>461</v>
      </c>
      <c r="F42" s="772" t="s">
        <v>461</v>
      </c>
      <c r="G42" s="772" t="s">
        <v>461</v>
      </c>
      <c r="H42" s="774">
        <v>108947.12</v>
      </c>
    </row>
    <row r="43" spans="1:8">
      <c r="A43" s="769" t="s">
        <v>658</v>
      </c>
      <c r="B43" s="770" t="s">
        <v>659</v>
      </c>
      <c r="C43" s="772" t="s">
        <v>461</v>
      </c>
      <c r="D43" s="771">
        <v>5481.36</v>
      </c>
      <c r="E43" s="772" t="s">
        <v>461</v>
      </c>
      <c r="F43" s="772" t="s">
        <v>461</v>
      </c>
      <c r="G43" s="772" t="s">
        <v>461</v>
      </c>
      <c r="H43" s="774">
        <v>5481.36</v>
      </c>
    </row>
    <row r="44" spans="1:8">
      <c r="A44" s="769" t="s">
        <v>660</v>
      </c>
      <c r="B44" s="770" t="s">
        <v>661</v>
      </c>
      <c r="C44" s="772" t="s">
        <v>461</v>
      </c>
      <c r="D44" s="775">
        <v>-621.62</v>
      </c>
      <c r="E44" s="772" t="s">
        <v>461</v>
      </c>
      <c r="F44" s="772" t="s">
        <v>461</v>
      </c>
      <c r="G44" s="772" t="s">
        <v>461</v>
      </c>
      <c r="H44" s="776">
        <v>-621.62</v>
      </c>
    </row>
    <row r="45" spans="1:8">
      <c r="A45" s="769" t="s">
        <v>3161</v>
      </c>
      <c r="B45" s="770" t="s">
        <v>662</v>
      </c>
      <c r="C45" s="771">
        <v>101572.8</v>
      </c>
      <c r="D45" s="772" t="s">
        <v>461</v>
      </c>
      <c r="E45" s="772" t="s">
        <v>461</v>
      </c>
      <c r="F45" s="772" t="s">
        <v>461</v>
      </c>
      <c r="G45" s="771">
        <v>101572.8</v>
      </c>
      <c r="H45" s="773" t="s">
        <v>461</v>
      </c>
    </row>
    <row r="46" spans="1:8" ht="15.75" thickBot="1">
      <c r="A46" s="769" t="s">
        <v>663</v>
      </c>
      <c r="B46" s="770" t="s">
        <v>664</v>
      </c>
      <c r="C46" s="771">
        <v>101572.8</v>
      </c>
      <c r="D46" s="772" t="s">
        <v>461</v>
      </c>
      <c r="E46" s="772" t="s">
        <v>461</v>
      </c>
      <c r="F46" s="772" t="s">
        <v>461</v>
      </c>
      <c r="G46" s="771">
        <v>101572.8</v>
      </c>
      <c r="H46" s="773" t="s">
        <v>461</v>
      </c>
    </row>
    <row r="47" spans="1:8" ht="15.75" thickBot="1">
      <c r="A47" s="777"/>
      <c r="B47" s="778"/>
      <c r="C47" s="779">
        <v>122447331.59</v>
      </c>
      <c r="D47" s="779">
        <v>122447331.59</v>
      </c>
      <c r="E47" s="780" t="s">
        <v>461</v>
      </c>
      <c r="F47" s="780" t="s">
        <v>461</v>
      </c>
      <c r="G47" s="779">
        <v>122447331.59</v>
      </c>
      <c r="H47" s="781">
        <v>122447331.59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2"/>
  <sheetViews>
    <sheetView topLeftCell="A374" zoomScale="80" zoomScaleNormal="80" workbookViewId="0">
      <selection activeCell="E390" sqref="E390"/>
    </sheetView>
  </sheetViews>
  <sheetFormatPr defaultRowHeight="15"/>
  <cols>
    <col min="2" max="2" width="14.7109375" customWidth="1"/>
    <col min="3" max="3" width="18.42578125" customWidth="1"/>
    <col min="4" max="4" width="16.5703125" customWidth="1"/>
    <col min="5" max="5" width="16.85546875" customWidth="1"/>
    <col min="6" max="6" width="17.140625" customWidth="1"/>
    <col min="7" max="7" width="13" bestFit="1" customWidth="1"/>
    <col min="8" max="8" width="30.5703125" customWidth="1"/>
    <col min="9" max="9" width="15.85546875" customWidth="1"/>
    <col min="10" max="10" width="11.85546875" customWidth="1"/>
    <col min="11" max="11" width="12.85546875" bestFit="1" customWidth="1"/>
    <col min="13" max="14" width="9.85546875" bestFit="1" customWidth="1"/>
  </cols>
  <sheetData>
    <row r="1" spans="1:9">
      <c r="A1" s="210" t="s">
        <v>394</v>
      </c>
      <c r="B1" s="145"/>
      <c r="C1" s="145"/>
      <c r="D1" s="145"/>
    </row>
    <row r="2" spans="1:9">
      <c r="A2" s="399" t="s">
        <v>342</v>
      </c>
      <c r="B2" s="400" t="s">
        <v>343</v>
      </c>
      <c r="C2" s="400" t="s">
        <v>54</v>
      </c>
      <c r="D2" s="400" t="s">
        <v>55</v>
      </c>
      <c r="G2" s="407" t="s">
        <v>2272</v>
      </c>
      <c r="H2" s="407" t="s">
        <v>2273</v>
      </c>
      <c r="I2" s="407" t="s">
        <v>2274</v>
      </c>
    </row>
    <row r="3" spans="1:9">
      <c r="A3" s="396">
        <v>1000</v>
      </c>
      <c r="B3" s="401" t="s">
        <v>344</v>
      </c>
      <c r="C3" s="404">
        <v>500878.06466999999</v>
      </c>
      <c r="D3" s="404">
        <v>0</v>
      </c>
      <c r="F3">
        <v>1010</v>
      </c>
      <c r="G3" s="5">
        <v>0</v>
      </c>
      <c r="H3" s="5">
        <v>0</v>
      </c>
      <c r="I3" s="5">
        <f t="shared" ref="I3:I4" si="0">H3-G3</f>
        <v>0</v>
      </c>
    </row>
    <row r="4" spans="1:9">
      <c r="A4" s="402">
        <v>1010</v>
      </c>
      <c r="B4" s="398" t="s">
        <v>344</v>
      </c>
      <c r="C4" s="405">
        <v>5095.49611</v>
      </c>
      <c r="D4" s="405">
        <v>0</v>
      </c>
      <c r="F4">
        <v>1021</v>
      </c>
      <c r="G4" s="5">
        <v>0</v>
      </c>
      <c r="H4" s="5">
        <v>0</v>
      </c>
      <c r="I4" s="5">
        <f t="shared" si="0"/>
        <v>0</v>
      </c>
    </row>
    <row r="5" spans="1:9">
      <c r="A5" s="403"/>
      <c r="B5" s="397">
        <v>1000</v>
      </c>
      <c r="C5" s="406">
        <v>35489</v>
      </c>
      <c r="D5" s="406">
        <v>12300</v>
      </c>
      <c r="F5">
        <v>1022</v>
      </c>
      <c r="G5" s="5">
        <f>C31</f>
        <v>9317.0712299999996</v>
      </c>
      <c r="H5" s="5">
        <f>D33</f>
        <v>334736.32410000003</v>
      </c>
      <c r="I5" s="5">
        <f>H5-G5</f>
        <v>325419.25287000003</v>
      </c>
    </row>
    <row r="6" spans="1:9">
      <c r="A6" s="403"/>
      <c r="B6" s="397">
        <v>1020</v>
      </c>
      <c r="C6" s="406">
        <v>10000</v>
      </c>
      <c r="D6" s="406">
        <v>0</v>
      </c>
      <c r="F6">
        <v>1030</v>
      </c>
      <c r="G6" s="5">
        <f>C65</f>
        <v>20614.454829999999</v>
      </c>
      <c r="H6" s="5">
        <f>D69</f>
        <v>31667.588309999999</v>
      </c>
      <c r="I6" s="5">
        <f t="shared" ref="I6" si="1">H6-G6</f>
        <v>11053.13348</v>
      </c>
    </row>
    <row r="7" spans="1:9">
      <c r="A7" s="403"/>
      <c r="B7" s="397">
        <v>1200</v>
      </c>
      <c r="C7" s="406">
        <v>11218.620500000001</v>
      </c>
      <c r="D7" s="406">
        <v>10202.876</v>
      </c>
      <c r="F7">
        <v>1040</v>
      </c>
      <c r="G7" s="5">
        <v>0</v>
      </c>
      <c r="H7" s="5">
        <v>0</v>
      </c>
    </row>
    <row r="8" spans="1:9" hidden="1">
      <c r="A8" s="403"/>
      <c r="B8" s="397">
        <v>1250</v>
      </c>
      <c r="C8" s="406">
        <v>2387.6590000000001</v>
      </c>
      <c r="D8" s="406">
        <v>10182.921</v>
      </c>
    </row>
    <row r="9" spans="1:9" hidden="1">
      <c r="A9" s="403"/>
      <c r="B9" s="397">
        <v>1270</v>
      </c>
      <c r="C9" s="406">
        <v>8354.7715000000007</v>
      </c>
      <c r="D9" s="406">
        <v>19.954999999999998</v>
      </c>
    </row>
    <row r="10" spans="1:9" hidden="1">
      <c r="A10" s="403"/>
      <c r="B10" s="397">
        <v>1700</v>
      </c>
      <c r="C10" s="406">
        <v>0</v>
      </c>
      <c r="D10" s="406">
        <v>280</v>
      </c>
    </row>
    <row r="11" spans="1:9" hidden="1">
      <c r="A11" s="403"/>
      <c r="B11" s="397">
        <v>1710</v>
      </c>
      <c r="C11" s="406">
        <v>0</v>
      </c>
      <c r="D11" s="406">
        <v>280</v>
      </c>
    </row>
    <row r="12" spans="1:9" hidden="1">
      <c r="A12" s="403"/>
      <c r="B12" s="397">
        <v>2900</v>
      </c>
      <c r="C12" s="406">
        <v>0</v>
      </c>
      <c r="D12" s="406">
        <v>210</v>
      </c>
    </row>
    <row r="13" spans="1:9" hidden="1">
      <c r="A13" s="403"/>
      <c r="B13" s="397">
        <v>2910</v>
      </c>
      <c r="C13" s="406">
        <v>0</v>
      </c>
      <c r="D13" s="406">
        <v>210</v>
      </c>
    </row>
    <row r="14" spans="1:9" hidden="1">
      <c r="A14" s="403"/>
      <c r="B14" s="397">
        <v>3300</v>
      </c>
      <c r="C14" s="406">
        <v>13256.026820000001</v>
      </c>
      <c r="D14" s="406">
        <v>36426.81583</v>
      </c>
    </row>
    <row r="15" spans="1:9" hidden="1">
      <c r="A15" s="403"/>
      <c r="B15" s="397">
        <v>3310</v>
      </c>
      <c r="C15" s="406">
        <v>0</v>
      </c>
      <c r="D15" s="406">
        <v>490</v>
      </c>
    </row>
    <row r="16" spans="1:9" hidden="1">
      <c r="A16" s="403"/>
      <c r="B16" s="397">
        <v>3380</v>
      </c>
      <c r="C16" s="406">
        <v>8742.7214999999997</v>
      </c>
      <c r="D16" s="406">
        <v>9939.5190000000002</v>
      </c>
    </row>
    <row r="17" spans="1:4" hidden="1">
      <c r="A17" s="403"/>
      <c r="B17" s="397">
        <v>3387</v>
      </c>
      <c r="C17" s="406">
        <v>2449.2024999999999</v>
      </c>
      <c r="D17" s="406">
        <v>0</v>
      </c>
    </row>
    <row r="18" spans="1:4" hidden="1">
      <c r="A18" s="403"/>
      <c r="B18" s="397">
        <v>7200</v>
      </c>
      <c r="C18" s="406">
        <v>0</v>
      </c>
      <c r="D18" s="406">
        <v>1781.31</v>
      </c>
    </row>
    <row r="19" spans="1:4" hidden="1">
      <c r="A19" s="403"/>
      <c r="B19" s="397">
        <v>7210</v>
      </c>
      <c r="C19" s="406">
        <v>0</v>
      </c>
      <c r="D19" s="406">
        <v>1781.31</v>
      </c>
    </row>
    <row r="20" spans="1:4" hidden="1">
      <c r="A20" s="398"/>
      <c r="B20" s="398" t="s">
        <v>345</v>
      </c>
      <c r="C20" s="405">
        <v>59963.647320000004</v>
      </c>
      <c r="D20" s="405">
        <v>61201.001830000001</v>
      </c>
    </row>
    <row r="21" spans="1:4" hidden="1">
      <c r="A21" s="398"/>
      <c r="B21" s="398" t="s">
        <v>346</v>
      </c>
      <c r="C21" s="405">
        <v>3858.1415999999999</v>
      </c>
      <c r="D21" s="405">
        <v>0</v>
      </c>
    </row>
    <row r="22" spans="1:4" hidden="1">
      <c r="A22" s="396">
        <v>1020</v>
      </c>
      <c r="B22" s="401" t="s">
        <v>344</v>
      </c>
      <c r="C22" s="404">
        <v>0</v>
      </c>
      <c r="D22" s="404">
        <v>0</v>
      </c>
    </row>
    <row r="23" spans="1:4" hidden="1">
      <c r="A23" s="402">
        <v>1021</v>
      </c>
      <c r="B23" s="398" t="s">
        <v>344</v>
      </c>
      <c r="C23" s="405">
        <v>0</v>
      </c>
      <c r="D23" s="405">
        <v>0</v>
      </c>
    </row>
    <row r="24" spans="1:4" hidden="1">
      <c r="A24" s="403"/>
      <c r="B24" s="397">
        <v>1000</v>
      </c>
      <c r="C24" s="406">
        <v>10000</v>
      </c>
      <c r="D24" s="406">
        <v>10000</v>
      </c>
    </row>
    <row r="25" spans="1:4" hidden="1">
      <c r="A25" s="398"/>
      <c r="B25" s="398" t="s">
        <v>345</v>
      </c>
      <c r="C25" s="405">
        <v>10000</v>
      </c>
      <c r="D25" s="405">
        <v>10000</v>
      </c>
    </row>
    <row r="26" spans="1:4" hidden="1">
      <c r="A26" s="398"/>
      <c r="B26" s="398" t="s">
        <v>346</v>
      </c>
      <c r="C26" s="405">
        <v>0</v>
      </c>
      <c r="D26" s="405">
        <v>0</v>
      </c>
    </row>
    <row r="27" spans="1:4" hidden="1">
      <c r="A27" s="402">
        <v>1022</v>
      </c>
      <c r="B27" s="398" t="s">
        <v>344</v>
      </c>
      <c r="C27" s="405">
        <v>0</v>
      </c>
      <c r="D27" s="405">
        <v>0</v>
      </c>
    </row>
    <row r="28" spans="1:4" hidden="1">
      <c r="A28" s="403"/>
      <c r="B28" s="397">
        <v>1000</v>
      </c>
      <c r="C28" s="406">
        <v>32371055.17128</v>
      </c>
      <c r="D28" s="406">
        <v>32045635.918410003</v>
      </c>
    </row>
    <row r="29" spans="1:4" hidden="1">
      <c r="A29" s="403"/>
      <c r="B29" s="397">
        <v>4000</v>
      </c>
      <c r="C29" s="406">
        <v>3481319.03272</v>
      </c>
      <c r="D29" s="406">
        <v>3481319.03272</v>
      </c>
    </row>
    <row r="30" spans="1:4" hidden="1">
      <c r="A30" s="403"/>
      <c r="B30" s="397">
        <v>6200</v>
      </c>
      <c r="C30" s="406">
        <v>9317.0712299999996</v>
      </c>
      <c r="D30" s="406">
        <v>0</v>
      </c>
    </row>
    <row r="31" spans="1:4" hidden="1">
      <c r="A31" s="403"/>
      <c r="B31" s="397">
        <v>6250</v>
      </c>
      <c r="C31" s="406">
        <v>9317.0712299999996</v>
      </c>
      <c r="D31" s="406">
        <v>0</v>
      </c>
    </row>
    <row r="32" spans="1:4" hidden="1">
      <c r="A32" s="403"/>
      <c r="B32" s="397">
        <v>7400</v>
      </c>
      <c r="C32" s="406">
        <v>0</v>
      </c>
      <c r="D32" s="406">
        <v>334736.32410000003</v>
      </c>
    </row>
    <row r="33" spans="1:4" hidden="1">
      <c r="A33" s="403"/>
      <c r="B33" s="397">
        <v>7430</v>
      </c>
      <c r="C33" s="406">
        <v>0</v>
      </c>
      <c r="D33" s="406">
        <v>334736.32410000003</v>
      </c>
    </row>
    <row r="34" spans="1:4" hidden="1">
      <c r="A34" s="398"/>
      <c r="B34" s="398" t="s">
        <v>345</v>
      </c>
      <c r="C34" s="405">
        <v>35861691.275229998</v>
      </c>
      <c r="D34" s="405">
        <v>35861691.275229998</v>
      </c>
    </row>
    <row r="35" spans="1:4" hidden="1">
      <c r="A35" s="398"/>
      <c r="B35" s="398" t="s">
        <v>346</v>
      </c>
      <c r="C35" s="405">
        <v>0</v>
      </c>
      <c r="D35" s="405">
        <v>0</v>
      </c>
    </row>
    <row r="36" spans="1:4" hidden="1">
      <c r="A36" s="398"/>
      <c r="B36" s="401" t="s">
        <v>345</v>
      </c>
      <c r="C36" s="404">
        <v>35871691.275229998</v>
      </c>
      <c r="D36" s="404">
        <v>35871691.275229998</v>
      </c>
    </row>
    <row r="37" spans="1:4" hidden="1">
      <c r="A37" s="398"/>
      <c r="B37" s="401" t="s">
        <v>346</v>
      </c>
      <c r="C37" s="404">
        <v>0</v>
      </c>
      <c r="D37" s="404">
        <v>0</v>
      </c>
    </row>
    <row r="38" spans="1:4" hidden="1">
      <c r="A38" s="402">
        <v>1030</v>
      </c>
      <c r="B38" s="398" t="s">
        <v>344</v>
      </c>
      <c r="C38" s="405">
        <v>483099.48307999998</v>
      </c>
      <c r="D38" s="405">
        <v>0</v>
      </c>
    </row>
    <row r="39" spans="1:4" hidden="1">
      <c r="A39" s="403"/>
      <c r="B39" s="397">
        <v>1000</v>
      </c>
      <c r="C39" s="406">
        <v>96080465.129709989</v>
      </c>
      <c r="D39" s="406">
        <v>96643535.749579996</v>
      </c>
    </row>
    <row r="40" spans="1:4" hidden="1">
      <c r="A40" s="403"/>
      <c r="B40" s="397">
        <v>1020</v>
      </c>
      <c r="C40" s="406">
        <v>32045635.918410003</v>
      </c>
      <c r="D40" s="406">
        <v>32381055.17128</v>
      </c>
    </row>
    <row r="41" spans="1:4" hidden="1">
      <c r="A41" s="403"/>
      <c r="B41" s="397">
        <v>1100</v>
      </c>
      <c r="C41" s="406">
        <v>21762082.056900002</v>
      </c>
      <c r="D41" s="406">
        <v>7789345.982259999</v>
      </c>
    </row>
    <row r="42" spans="1:4" hidden="1">
      <c r="A42" s="403"/>
      <c r="B42" s="397">
        <v>1200</v>
      </c>
      <c r="C42" s="406">
        <v>34185009.335819997</v>
      </c>
      <c r="D42" s="406">
        <v>1836374.8572</v>
      </c>
    </row>
    <row r="43" spans="1:4" hidden="1">
      <c r="A43" s="403"/>
      <c r="B43" s="397">
        <v>1250</v>
      </c>
      <c r="C43" s="406">
        <v>299.11</v>
      </c>
      <c r="D43" s="406">
        <v>136883.06746000002</v>
      </c>
    </row>
    <row r="44" spans="1:4" hidden="1">
      <c r="A44" s="403"/>
      <c r="B44" s="397">
        <v>1270</v>
      </c>
      <c r="C44" s="406">
        <v>75813.515329999995</v>
      </c>
      <c r="D44" s="406">
        <v>126141.22527</v>
      </c>
    </row>
    <row r="45" spans="1:4" hidden="1">
      <c r="A45" s="403"/>
      <c r="B45" s="397">
        <v>1400</v>
      </c>
      <c r="C45" s="406">
        <v>330138.91339</v>
      </c>
      <c r="D45" s="406">
        <v>144732.43400000001</v>
      </c>
    </row>
    <row r="46" spans="1:4" hidden="1">
      <c r="A46" s="403"/>
      <c r="B46" s="397">
        <v>1700</v>
      </c>
      <c r="C46" s="406">
        <v>22990.361629999999</v>
      </c>
      <c r="D46" s="406">
        <v>14745668.366010003</v>
      </c>
    </row>
    <row r="47" spans="1:4" hidden="1">
      <c r="A47" s="403"/>
      <c r="B47" s="397">
        <v>1710</v>
      </c>
      <c r="C47" s="406">
        <v>22990.361629999999</v>
      </c>
      <c r="D47" s="406">
        <v>14685568.458209999</v>
      </c>
    </row>
    <row r="48" spans="1:4" hidden="1">
      <c r="A48" s="403"/>
      <c r="B48" s="397">
        <v>1720</v>
      </c>
      <c r="C48" s="406">
        <v>0</v>
      </c>
      <c r="D48" s="406">
        <v>43.936</v>
      </c>
    </row>
    <row r="49" spans="1:4" hidden="1">
      <c r="A49" s="403"/>
      <c r="B49" s="397">
        <v>2200</v>
      </c>
      <c r="C49" s="406">
        <v>0</v>
      </c>
      <c r="D49" s="406">
        <v>250</v>
      </c>
    </row>
    <row r="50" spans="1:4" hidden="1">
      <c r="A50" s="403"/>
      <c r="B50" s="397">
        <v>2900</v>
      </c>
      <c r="C50" s="406">
        <v>26399.407380000001</v>
      </c>
      <c r="D50" s="406">
        <v>9361376.4767899998</v>
      </c>
    </row>
    <row r="51" spans="1:4" hidden="1">
      <c r="A51" s="403"/>
      <c r="B51" s="397">
        <v>2910</v>
      </c>
      <c r="C51" s="406">
        <v>26399.407380000001</v>
      </c>
      <c r="D51" s="406">
        <v>9361376.4767899998</v>
      </c>
    </row>
    <row r="52" spans="1:4" hidden="1">
      <c r="A52" s="403"/>
      <c r="B52" s="397">
        <v>3000</v>
      </c>
      <c r="C52" s="406">
        <v>0</v>
      </c>
      <c r="D52" s="406">
        <v>25270518.618319999</v>
      </c>
    </row>
    <row r="53" spans="1:4" hidden="1">
      <c r="A53" s="403"/>
      <c r="B53" s="397">
        <v>3100</v>
      </c>
      <c r="C53" s="406">
        <v>0</v>
      </c>
      <c r="D53" s="406">
        <v>8959923.75825</v>
      </c>
    </row>
    <row r="54" spans="1:4" hidden="1">
      <c r="A54" s="403"/>
      <c r="B54" s="397">
        <v>3190</v>
      </c>
      <c r="C54" s="406">
        <v>0</v>
      </c>
      <c r="D54" s="406">
        <v>6725734.0209999997</v>
      </c>
    </row>
    <row r="55" spans="1:4" hidden="1">
      <c r="A55" s="403"/>
      <c r="B55" s="397">
        <v>3200</v>
      </c>
      <c r="C55" s="406">
        <v>5789.0394800000004</v>
      </c>
      <c r="D55" s="406">
        <v>1903553.33032</v>
      </c>
    </row>
    <row r="56" spans="1:4" hidden="1">
      <c r="A56" s="403"/>
      <c r="B56" s="397">
        <v>3260</v>
      </c>
      <c r="C56" s="406">
        <v>456.37465000000003</v>
      </c>
      <c r="D56" s="406">
        <v>140233.23548</v>
      </c>
    </row>
    <row r="57" spans="1:4" hidden="1">
      <c r="A57" s="403"/>
      <c r="B57" s="397">
        <v>3300</v>
      </c>
      <c r="C57" s="406">
        <v>197397.73228</v>
      </c>
      <c r="D57" s="406">
        <v>9603183.970569998</v>
      </c>
    </row>
    <row r="58" spans="1:4" hidden="1">
      <c r="A58" s="403"/>
      <c r="B58" s="397">
        <v>3310</v>
      </c>
      <c r="C58" s="406">
        <v>162.35</v>
      </c>
      <c r="D58" s="406">
        <v>68.400000000000006</v>
      </c>
    </row>
    <row r="59" spans="1:4" hidden="1">
      <c r="A59" s="403"/>
      <c r="B59" s="397">
        <v>3380</v>
      </c>
      <c r="C59" s="406">
        <v>186624.25985</v>
      </c>
      <c r="D59" s="406">
        <v>542817.94373000006</v>
      </c>
    </row>
    <row r="60" spans="1:4" hidden="1">
      <c r="A60" s="403"/>
      <c r="B60" s="397">
        <v>3387</v>
      </c>
      <c r="C60" s="406">
        <v>185147.13471000001</v>
      </c>
      <c r="D60" s="406">
        <v>343246.96361000004</v>
      </c>
    </row>
    <row r="61" spans="1:4" hidden="1">
      <c r="A61" s="403"/>
      <c r="B61" s="397">
        <v>3500</v>
      </c>
      <c r="C61" s="406">
        <v>24091397.282099999</v>
      </c>
      <c r="D61" s="406">
        <v>3155000</v>
      </c>
    </row>
    <row r="62" spans="1:4" hidden="1">
      <c r="A62" s="403"/>
      <c r="B62" s="397">
        <v>4000</v>
      </c>
      <c r="C62" s="406">
        <v>3365861</v>
      </c>
      <c r="D62" s="406">
        <v>115267.35568000001</v>
      </c>
    </row>
    <row r="63" spans="1:4" hidden="1">
      <c r="A63" s="403"/>
      <c r="B63" s="397">
        <v>6100</v>
      </c>
      <c r="C63" s="406">
        <v>60484.964119999997</v>
      </c>
      <c r="D63" s="406">
        <v>0</v>
      </c>
    </row>
    <row r="64" spans="1:4" hidden="1">
      <c r="A64" s="403"/>
      <c r="B64" s="397">
        <v>6200</v>
      </c>
      <c r="C64" s="406">
        <v>20950.296829999999</v>
      </c>
      <c r="D64" s="406">
        <v>0</v>
      </c>
    </row>
    <row r="65" spans="1:4" hidden="1">
      <c r="A65" s="403"/>
      <c r="B65" s="397">
        <v>6250</v>
      </c>
      <c r="C65" s="406">
        <v>20614.454829999999</v>
      </c>
      <c r="D65" s="406">
        <v>0</v>
      </c>
    </row>
    <row r="66" spans="1:4" hidden="1">
      <c r="A66" s="403"/>
      <c r="B66" s="397">
        <v>7200</v>
      </c>
      <c r="C66" s="406">
        <v>100</v>
      </c>
      <c r="D66" s="406">
        <v>17725.063269999999</v>
      </c>
    </row>
    <row r="67" spans="1:4" hidden="1">
      <c r="A67" s="403"/>
      <c r="B67" s="397">
        <v>7210</v>
      </c>
      <c r="C67" s="406">
        <v>100</v>
      </c>
      <c r="D67" s="406">
        <v>17725.063269999999</v>
      </c>
    </row>
    <row r="68" spans="1:4" hidden="1">
      <c r="A68" s="403"/>
      <c r="B68" s="397">
        <v>7400</v>
      </c>
      <c r="C68" s="406">
        <v>0</v>
      </c>
      <c r="D68" s="406">
        <v>31667.588309999999</v>
      </c>
    </row>
    <row r="69" spans="1:4" hidden="1">
      <c r="A69" s="403"/>
      <c r="B69" s="397">
        <v>7430</v>
      </c>
      <c r="C69" s="406">
        <v>0</v>
      </c>
      <c r="D69" s="406">
        <v>31667.588309999999</v>
      </c>
    </row>
    <row r="70" spans="1:4" hidden="1">
      <c r="A70" s="398"/>
      <c r="B70" s="398" t="s">
        <v>345</v>
      </c>
      <c r="C70" s="405">
        <v>180149065.51964</v>
      </c>
      <c r="D70" s="405">
        <v>179578123.55056</v>
      </c>
    </row>
    <row r="71" spans="1:4" hidden="1">
      <c r="A71" s="398"/>
      <c r="B71" s="398" t="s">
        <v>346</v>
      </c>
      <c r="C71" s="405">
        <v>1054041.4521599999</v>
      </c>
      <c r="D71" s="405">
        <v>0</v>
      </c>
    </row>
    <row r="72" spans="1:4" hidden="1">
      <c r="A72" s="402">
        <v>1040</v>
      </c>
      <c r="B72" s="398" t="s">
        <v>344</v>
      </c>
      <c r="C72" s="405">
        <v>3711.2124800000001</v>
      </c>
      <c r="D72" s="405">
        <v>0</v>
      </c>
    </row>
    <row r="73" spans="1:4" hidden="1">
      <c r="A73" s="403"/>
      <c r="B73" s="397">
        <v>1000</v>
      </c>
      <c r="C73" s="406">
        <v>66814.366999999998</v>
      </c>
      <c r="D73" s="406">
        <v>25489</v>
      </c>
    </row>
    <row r="74" spans="1:4" hidden="1">
      <c r="A74" s="403"/>
      <c r="B74" s="397">
        <v>1200</v>
      </c>
      <c r="C74" s="406">
        <v>0</v>
      </c>
      <c r="D74" s="406">
        <v>44263.666389999999</v>
      </c>
    </row>
    <row r="75" spans="1:4" hidden="1">
      <c r="A75" s="403"/>
      <c r="B75" s="397">
        <v>1250</v>
      </c>
      <c r="C75" s="406">
        <v>0</v>
      </c>
      <c r="D75" s="406">
        <v>44263.666389999999</v>
      </c>
    </row>
    <row r="76" spans="1:4" hidden="1">
      <c r="A76" s="403"/>
      <c r="B76" s="397">
        <v>1700</v>
      </c>
      <c r="C76" s="406">
        <v>0</v>
      </c>
      <c r="D76" s="406">
        <v>167.92</v>
      </c>
    </row>
    <row r="77" spans="1:4" hidden="1">
      <c r="A77" s="403"/>
      <c r="B77" s="397">
        <v>1710</v>
      </c>
      <c r="C77" s="406">
        <v>0</v>
      </c>
      <c r="D77" s="406">
        <v>167.92</v>
      </c>
    </row>
    <row r="78" spans="1:4" hidden="1">
      <c r="A78" s="403"/>
      <c r="B78" s="397">
        <v>3300</v>
      </c>
      <c r="C78" s="406">
        <v>0</v>
      </c>
      <c r="D78" s="406">
        <v>10.847</v>
      </c>
    </row>
    <row r="79" spans="1:4" hidden="1">
      <c r="A79" s="403"/>
      <c r="B79" s="397">
        <v>3380</v>
      </c>
      <c r="C79" s="406">
        <v>0</v>
      </c>
      <c r="D79" s="406">
        <v>10.847</v>
      </c>
    </row>
    <row r="80" spans="1:4" hidden="1">
      <c r="A80" s="403"/>
      <c r="B80" s="397">
        <v>3387</v>
      </c>
      <c r="C80" s="406">
        <v>0</v>
      </c>
      <c r="D80" s="406">
        <v>10.847</v>
      </c>
    </row>
    <row r="81" spans="1:9" hidden="1">
      <c r="A81" s="403"/>
      <c r="B81" s="397">
        <v>7200</v>
      </c>
      <c r="C81" s="406">
        <v>0</v>
      </c>
      <c r="D81" s="406">
        <v>218.66354000000001</v>
      </c>
    </row>
    <row r="82" spans="1:9" hidden="1">
      <c r="A82" s="403"/>
      <c r="B82" s="397">
        <v>7210</v>
      </c>
      <c r="C82" s="406">
        <v>0</v>
      </c>
      <c r="D82" s="406">
        <v>218.66354000000001</v>
      </c>
    </row>
    <row r="83" spans="1:9" hidden="1">
      <c r="A83" s="398"/>
      <c r="B83" s="398" t="s">
        <v>345</v>
      </c>
      <c r="C83" s="405">
        <v>66814.366999999998</v>
      </c>
      <c r="D83" s="405">
        <v>70150.096930000014</v>
      </c>
    </row>
    <row r="84" spans="1:9" hidden="1">
      <c r="A84" s="398"/>
      <c r="B84" s="398" t="s">
        <v>346</v>
      </c>
      <c r="C84" s="405">
        <v>375.48255</v>
      </c>
      <c r="D84" s="405">
        <v>0</v>
      </c>
    </row>
    <row r="85" spans="1:9" hidden="1">
      <c r="A85" s="402">
        <v>1060</v>
      </c>
      <c r="B85" s="398" t="s">
        <v>344</v>
      </c>
      <c r="C85" s="405">
        <v>8971.8729999999996</v>
      </c>
      <c r="D85" s="405">
        <v>0</v>
      </c>
    </row>
    <row r="86" spans="1:9" hidden="1">
      <c r="A86" s="403"/>
      <c r="B86" s="397">
        <v>1000</v>
      </c>
      <c r="C86" s="406">
        <v>173137</v>
      </c>
      <c r="D86" s="406">
        <v>0</v>
      </c>
    </row>
    <row r="87" spans="1:9" hidden="1">
      <c r="A87" s="398"/>
      <c r="B87" s="398" t="s">
        <v>345</v>
      </c>
      <c r="C87" s="405">
        <v>173137</v>
      </c>
      <c r="D87" s="405">
        <v>0</v>
      </c>
    </row>
    <row r="88" spans="1:9" hidden="1">
      <c r="A88" s="398"/>
      <c r="B88" s="398" t="s">
        <v>346</v>
      </c>
      <c r="C88" s="405">
        <v>182108.87299999999</v>
      </c>
      <c r="D88" s="405">
        <v>0</v>
      </c>
    </row>
    <row r="89" spans="1:9" hidden="1">
      <c r="A89" s="398"/>
      <c r="B89" s="401" t="s">
        <v>345</v>
      </c>
      <c r="C89" s="404">
        <v>216320671.80919001</v>
      </c>
      <c r="D89" s="404">
        <v>215581165.92455003</v>
      </c>
    </row>
    <row r="90" spans="1:9" hidden="1">
      <c r="A90" s="398"/>
      <c r="B90" s="401" t="s">
        <v>346</v>
      </c>
      <c r="C90" s="404">
        <v>1240383.9493100003</v>
      </c>
      <c r="D90" s="404">
        <v>0</v>
      </c>
    </row>
    <row r="92" spans="1:9">
      <c r="A92" s="60" t="s">
        <v>395</v>
      </c>
    </row>
    <row r="94" spans="1:9">
      <c r="A94" s="410" t="s">
        <v>342</v>
      </c>
      <c r="B94" s="411" t="s">
        <v>343</v>
      </c>
      <c r="C94" s="411" t="s">
        <v>54</v>
      </c>
      <c r="D94" s="411" t="s">
        <v>55</v>
      </c>
    </row>
    <row r="95" spans="1:9">
      <c r="A95" s="408">
        <v>1000</v>
      </c>
      <c r="B95" s="412" t="s">
        <v>344</v>
      </c>
      <c r="C95" s="415">
        <v>490734.76577999996</v>
      </c>
      <c r="D95" s="415">
        <v>0</v>
      </c>
    </row>
    <row r="96" spans="1:9">
      <c r="A96" s="413">
        <v>1010</v>
      </c>
      <c r="B96" s="409" t="s">
        <v>344</v>
      </c>
      <c r="C96" s="416">
        <v>798.37718999999993</v>
      </c>
      <c r="D96" s="416">
        <v>0</v>
      </c>
      <c r="G96" s="407" t="s">
        <v>2272</v>
      </c>
      <c r="H96" s="407" t="s">
        <v>2273</v>
      </c>
      <c r="I96" s="407" t="s">
        <v>2274</v>
      </c>
    </row>
    <row r="97" spans="1:9">
      <c r="A97" s="403"/>
      <c r="B97" s="397">
        <v>1000</v>
      </c>
      <c r="C97" s="406">
        <v>34590</v>
      </c>
      <c r="D97" s="406">
        <v>0</v>
      </c>
      <c r="F97">
        <v>1030</v>
      </c>
      <c r="G97" s="5">
        <f>C191</f>
        <v>1116588.9402600001</v>
      </c>
      <c r="H97" s="5">
        <f>D196</f>
        <v>527235.93463000003</v>
      </c>
      <c r="I97" s="5">
        <f t="shared" ref="I97:I98" si="2">H97-G97</f>
        <v>-589353.00563000003</v>
      </c>
    </row>
    <row r="98" spans="1:9">
      <c r="A98" s="403"/>
      <c r="B98" s="397">
        <v>1020</v>
      </c>
      <c r="C98" s="406">
        <v>34590</v>
      </c>
      <c r="D98" s="406">
        <v>0</v>
      </c>
      <c r="F98">
        <v>1050</v>
      </c>
      <c r="G98" s="5">
        <f>C205</f>
        <v>236070.55935</v>
      </c>
      <c r="H98" s="5">
        <f>D207</f>
        <v>109041.59345</v>
      </c>
      <c r="I98" s="5">
        <f t="shared" si="2"/>
        <v>-127028.9659</v>
      </c>
    </row>
    <row r="99" spans="1:9" hidden="1">
      <c r="A99" s="403"/>
      <c r="B99" s="397">
        <v>1023</v>
      </c>
      <c r="C99" s="406">
        <v>34590</v>
      </c>
      <c r="D99" s="406">
        <v>0</v>
      </c>
    </row>
    <row r="100" spans="1:9" hidden="1">
      <c r="A100" s="403"/>
      <c r="B100" s="397">
        <v>1200</v>
      </c>
      <c r="C100" s="406">
        <v>500.279</v>
      </c>
      <c r="D100" s="406">
        <v>15677.366</v>
      </c>
    </row>
    <row r="101" spans="1:9" hidden="1">
      <c r="A101" s="403"/>
      <c r="B101" s="397">
        <v>1250</v>
      </c>
      <c r="C101" s="406">
        <v>500.279</v>
      </c>
      <c r="D101" s="406">
        <v>15677.366</v>
      </c>
    </row>
    <row r="102" spans="1:9" hidden="1">
      <c r="A102" s="403"/>
      <c r="B102" s="397">
        <v>1251</v>
      </c>
      <c r="C102" s="406">
        <v>500.279</v>
      </c>
      <c r="D102" s="406">
        <v>15677.366</v>
      </c>
    </row>
    <row r="103" spans="1:9" hidden="1">
      <c r="A103" s="403"/>
      <c r="B103" s="397">
        <v>1600</v>
      </c>
      <c r="C103" s="406">
        <v>5.56</v>
      </c>
      <c r="D103" s="406">
        <v>0</v>
      </c>
    </row>
    <row r="104" spans="1:9" hidden="1">
      <c r="A104" s="403"/>
      <c r="B104" s="397">
        <v>1610</v>
      </c>
      <c r="C104" s="406">
        <v>5.56</v>
      </c>
      <c r="D104" s="406">
        <v>0</v>
      </c>
    </row>
    <row r="105" spans="1:9" hidden="1">
      <c r="A105" s="403"/>
      <c r="B105" s="397">
        <v>3300</v>
      </c>
      <c r="C105" s="406">
        <v>75.908000000000001</v>
      </c>
      <c r="D105" s="406">
        <v>19146.770230000002</v>
      </c>
    </row>
    <row r="106" spans="1:9" hidden="1">
      <c r="A106" s="403"/>
      <c r="B106" s="397">
        <v>3310</v>
      </c>
      <c r="C106" s="406">
        <v>0</v>
      </c>
      <c r="D106" s="406">
        <v>7.2</v>
      </c>
    </row>
    <row r="107" spans="1:9" hidden="1">
      <c r="A107" s="403"/>
      <c r="B107" s="397">
        <v>3350</v>
      </c>
      <c r="C107" s="406">
        <v>75.908000000000001</v>
      </c>
      <c r="D107" s="406">
        <v>19041.270230000002</v>
      </c>
    </row>
    <row r="108" spans="1:9" hidden="1">
      <c r="A108" s="403"/>
      <c r="B108" s="397">
        <v>3390</v>
      </c>
      <c r="C108" s="406">
        <v>0</v>
      </c>
      <c r="D108" s="406">
        <v>98.3</v>
      </c>
    </row>
    <row r="109" spans="1:9" hidden="1">
      <c r="A109" s="403"/>
      <c r="B109" s="397">
        <v>3396</v>
      </c>
      <c r="C109" s="406">
        <v>0</v>
      </c>
      <c r="D109" s="406">
        <v>98.3</v>
      </c>
    </row>
    <row r="110" spans="1:9" hidden="1">
      <c r="A110" s="409"/>
      <c r="B110" s="409" t="s">
        <v>345</v>
      </c>
      <c r="C110" s="416">
        <v>35171.747000000003</v>
      </c>
      <c r="D110" s="416">
        <v>34824.136229999996</v>
      </c>
    </row>
    <row r="111" spans="1:9" hidden="1">
      <c r="A111" s="409"/>
      <c r="B111" s="409" t="s">
        <v>346</v>
      </c>
      <c r="C111" s="416">
        <v>1145.9879599999999</v>
      </c>
      <c r="D111" s="416">
        <v>0</v>
      </c>
    </row>
    <row r="112" spans="1:9" hidden="1">
      <c r="A112" s="408">
        <v>1020</v>
      </c>
      <c r="B112" s="412" t="s">
        <v>344</v>
      </c>
      <c r="C112" s="415">
        <v>0</v>
      </c>
      <c r="D112" s="415">
        <v>0</v>
      </c>
    </row>
    <row r="113" spans="1:4" hidden="1">
      <c r="A113" s="413">
        <v>1021</v>
      </c>
      <c r="B113" s="409" t="s">
        <v>344</v>
      </c>
      <c r="C113" s="416">
        <v>0</v>
      </c>
      <c r="D113" s="416">
        <v>0</v>
      </c>
    </row>
    <row r="114" spans="1:4" hidden="1">
      <c r="A114" s="403"/>
      <c r="B114" s="397">
        <v>1000</v>
      </c>
      <c r="C114" s="406">
        <v>5235551.520490001</v>
      </c>
      <c r="D114" s="406">
        <v>5235551.520490001</v>
      </c>
    </row>
    <row r="115" spans="1:4" hidden="1">
      <c r="A115" s="403"/>
      <c r="B115" s="397">
        <v>1030</v>
      </c>
      <c r="C115" s="406">
        <v>5235551.520490001</v>
      </c>
      <c r="D115" s="406">
        <v>5235551.520490001</v>
      </c>
    </row>
    <row r="116" spans="1:4" hidden="1">
      <c r="A116" s="409"/>
      <c r="B116" s="409" t="s">
        <v>345</v>
      </c>
      <c r="C116" s="416">
        <v>5235551.520490001</v>
      </c>
      <c r="D116" s="416">
        <v>5235551.520490001</v>
      </c>
    </row>
    <row r="117" spans="1:4" hidden="1">
      <c r="A117" s="409"/>
      <c r="B117" s="409" t="s">
        <v>346</v>
      </c>
      <c r="C117" s="416">
        <v>0</v>
      </c>
      <c r="D117" s="416">
        <v>0</v>
      </c>
    </row>
    <row r="118" spans="1:4" hidden="1">
      <c r="A118" s="413">
        <v>1022</v>
      </c>
      <c r="B118" s="409" t="s">
        <v>344</v>
      </c>
      <c r="C118" s="416">
        <v>0</v>
      </c>
      <c r="D118" s="416">
        <v>0</v>
      </c>
    </row>
    <row r="119" spans="1:4" hidden="1">
      <c r="A119" s="403"/>
      <c r="B119" s="397">
        <v>1000</v>
      </c>
      <c r="C119" s="406">
        <v>29835110.99329</v>
      </c>
      <c r="D119" s="406">
        <v>30038169.35444</v>
      </c>
    </row>
    <row r="120" spans="1:4" hidden="1">
      <c r="A120" s="403"/>
      <c r="B120" s="397">
        <v>1030</v>
      </c>
      <c r="C120" s="406">
        <v>29835110.99329</v>
      </c>
      <c r="D120" s="406">
        <v>30038169.35444</v>
      </c>
    </row>
    <row r="121" spans="1:4" hidden="1">
      <c r="A121" s="403"/>
      <c r="B121" s="397">
        <v>6200</v>
      </c>
      <c r="C121" s="406">
        <v>232494.73075999998</v>
      </c>
      <c r="D121" s="406">
        <v>0</v>
      </c>
    </row>
    <row r="122" spans="1:4" hidden="1">
      <c r="A122" s="403"/>
      <c r="B122" s="397">
        <v>6280</v>
      </c>
      <c r="C122" s="406">
        <v>232494.73075999998</v>
      </c>
      <c r="D122" s="406">
        <v>0</v>
      </c>
    </row>
    <row r="123" spans="1:4" hidden="1">
      <c r="A123" s="403"/>
      <c r="B123" s="397">
        <v>7400</v>
      </c>
      <c r="C123" s="406">
        <v>0</v>
      </c>
      <c r="D123" s="406">
        <v>29436.369609999998</v>
      </c>
    </row>
    <row r="124" spans="1:4" hidden="1">
      <c r="A124" s="403"/>
      <c r="B124" s="397">
        <v>7470</v>
      </c>
      <c r="C124" s="406">
        <v>0</v>
      </c>
      <c r="D124" s="406">
        <v>29436.369609999998</v>
      </c>
    </row>
    <row r="125" spans="1:4" hidden="1">
      <c r="A125" s="409"/>
      <c r="B125" s="409" t="s">
        <v>345</v>
      </c>
      <c r="C125" s="416">
        <v>30067605.724050004</v>
      </c>
      <c r="D125" s="416">
        <v>30067605.724050004</v>
      </c>
    </row>
    <row r="126" spans="1:4" hidden="1">
      <c r="A126" s="409"/>
      <c r="B126" s="409" t="s">
        <v>346</v>
      </c>
      <c r="C126" s="416">
        <v>0</v>
      </c>
      <c r="D126" s="416">
        <v>0</v>
      </c>
    </row>
    <row r="127" spans="1:4" hidden="1">
      <c r="A127" s="413">
        <v>1023</v>
      </c>
      <c r="B127" s="409" t="s">
        <v>344</v>
      </c>
      <c r="C127" s="416">
        <v>0</v>
      </c>
      <c r="D127" s="416">
        <v>0</v>
      </c>
    </row>
    <row r="128" spans="1:4" hidden="1">
      <c r="A128" s="403"/>
      <c r="B128" s="397">
        <v>1000</v>
      </c>
      <c r="C128" s="406">
        <v>34590</v>
      </c>
      <c r="D128" s="406">
        <v>34590</v>
      </c>
    </row>
    <row r="129" spans="1:4" hidden="1">
      <c r="A129" s="403"/>
      <c r="B129" s="397">
        <v>1010</v>
      </c>
      <c r="C129" s="406">
        <v>0</v>
      </c>
      <c r="D129" s="406">
        <v>34590</v>
      </c>
    </row>
    <row r="130" spans="1:4" hidden="1">
      <c r="A130" s="403"/>
      <c r="B130" s="397">
        <v>1030</v>
      </c>
      <c r="C130" s="406">
        <v>34590</v>
      </c>
      <c r="D130" s="406">
        <v>0</v>
      </c>
    </row>
    <row r="131" spans="1:4" hidden="1">
      <c r="A131" s="409"/>
      <c r="B131" s="409" t="s">
        <v>345</v>
      </c>
      <c r="C131" s="416">
        <v>34590</v>
      </c>
      <c r="D131" s="416">
        <v>34590</v>
      </c>
    </row>
    <row r="132" spans="1:4" hidden="1">
      <c r="A132" s="409"/>
      <c r="B132" s="409" t="s">
        <v>346</v>
      </c>
      <c r="C132" s="416">
        <v>0</v>
      </c>
      <c r="D132" s="416">
        <v>0</v>
      </c>
    </row>
    <row r="133" spans="1:4" hidden="1">
      <c r="A133" s="409"/>
      <c r="B133" s="412" t="s">
        <v>345</v>
      </c>
      <c r="C133" s="415">
        <v>35337747.244539998</v>
      </c>
      <c r="D133" s="415">
        <v>35337747.244539998</v>
      </c>
    </row>
    <row r="134" spans="1:4" hidden="1">
      <c r="A134" s="409"/>
      <c r="B134" s="412" t="s">
        <v>346</v>
      </c>
      <c r="C134" s="415">
        <v>0</v>
      </c>
      <c r="D134" s="415">
        <v>0</v>
      </c>
    </row>
    <row r="135" spans="1:4" hidden="1">
      <c r="A135" s="413">
        <v>1030</v>
      </c>
      <c r="B135" s="409" t="s">
        <v>344</v>
      </c>
      <c r="C135" s="416">
        <v>172936.38859000002</v>
      </c>
      <c r="D135" s="416">
        <v>0</v>
      </c>
    </row>
    <row r="136" spans="1:4" hidden="1">
      <c r="A136" s="403"/>
      <c r="B136" s="397">
        <v>1000</v>
      </c>
      <c r="C136" s="406">
        <v>112799553.13926999</v>
      </c>
      <c r="D136" s="406">
        <v>118931217.39783999</v>
      </c>
    </row>
    <row r="137" spans="1:4" hidden="1">
      <c r="A137" s="403"/>
      <c r="B137" s="397">
        <v>1020</v>
      </c>
      <c r="C137" s="406">
        <v>35273720.874930002</v>
      </c>
      <c r="D137" s="406">
        <v>35105252.513780005</v>
      </c>
    </row>
    <row r="138" spans="1:4" hidden="1">
      <c r="A138" s="403"/>
      <c r="B138" s="397">
        <v>1021</v>
      </c>
      <c r="C138" s="406">
        <v>5235551.520490001</v>
      </c>
      <c r="D138" s="406">
        <v>5235551.520490001</v>
      </c>
    </row>
    <row r="139" spans="1:4" hidden="1">
      <c r="A139" s="403"/>
      <c r="B139" s="397">
        <v>1022</v>
      </c>
      <c r="C139" s="406">
        <v>30038169.35444</v>
      </c>
      <c r="D139" s="406">
        <v>29835110.99329</v>
      </c>
    </row>
    <row r="140" spans="1:4" hidden="1">
      <c r="A140" s="403"/>
      <c r="B140" s="397">
        <v>1023</v>
      </c>
      <c r="C140" s="406">
        <v>0</v>
      </c>
      <c r="D140" s="406">
        <v>34590</v>
      </c>
    </row>
    <row r="141" spans="1:4" hidden="1">
      <c r="A141" s="403"/>
      <c r="B141" s="397">
        <v>1030</v>
      </c>
      <c r="C141" s="406">
        <v>38205139.010389999</v>
      </c>
      <c r="D141" s="406">
        <v>38205139.010389999</v>
      </c>
    </row>
    <row r="142" spans="1:4" hidden="1">
      <c r="A142" s="403"/>
      <c r="B142" s="397">
        <v>1050</v>
      </c>
      <c r="C142" s="406">
        <v>39320693.253950007</v>
      </c>
      <c r="D142" s="406">
        <v>45604421.918369994</v>
      </c>
    </row>
    <row r="143" spans="1:4" hidden="1">
      <c r="A143" s="403"/>
      <c r="B143" s="397">
        <v>1060</v>
      </c>
      <c r="C143" s="406">
        <v>0</v>
      </c>
      <c r="D143" s="406">
        <v>16403.955300000001</v>
      </c>
    </row>
    <row r="144" spans="1:4" hidden="1">
      <c r="A144" s="403"/>
      <c r="B144" s="397">
        <v>1200</v>
      </c>
      <c r="C144" s="406">
        <v>37957588.874109998</v>
      </c>
      <c r="D144" s="406">
        <v>8498.3320000000003</v>
      </c>
    </row>
    <row r="145" spans="1:4" hidden="1">
      <c r="A145" s="403"/>
      <c r="B145" s="397">
        <v>1210</v>
      </c>
      <c r="C145" s="406">
        <v>37915173.842469998</v>
      </c>
      <c r="D145" s="406">
        <v>0</v>
      </c>
    </row>
    <row r="146" spans="1:4" hidden="1">
      <c r="A146" s="403"/>
      <c r="B146" s="397">
        <v>1250</v>
      </c>
      <c r="C146" s="406">
        <v>0</v>
      </c>
      <c r="D146" s="406">
        <v>4748.3320000000003</v>
      </c>
    </row>
    <row r="147" spans="1:4" hidden="1">
      <c r="A147" s="403"/>
      <c r="B147" s="397">
        <v>1251</v>
      </c>
      <c r="C147" s="406">
        <v>0</v>
      </c>
      <c r="D147" s="406">
        <v>4748.3320000000003</v>
      </c>
    </row>
    <row r="148" spans="1:4" hidden="1">
      <c r="A148" s="403"/>
      <c r="B148" s="397">
        <v>1270</v>
      </c>
      <c r="C148" s="406">
        <v>29463.133089999999</v>
      </c>
      <c r="D148" s="406">
        <v>0</v>
      </c>
    </row>
    <row r="149" spans="1:4" hidden="1">
      <c r="A149" s="403"/>
      <c r="B149" s="397">
        <v>1280</v>
      </c>
      <c r="C149" s="406">
        <v>12951.89855</v>
      </c>
      <c r="D149" s="406">
        <v>3750</v>
      </c>
    </row>
    <row r="150" spans="1:4" hidden="1">
      <c r="A150" s="403"/>
      <c r="B150" s="397">
        <v>1281</v>
      </c>
      <c r="C150" s="406">
        <v>130</v>
      </c>
      <c r="D150" s="406">
        <v>0</v>
      </c>
    </row>
    <row r="151" spans="1:4" hidden="1">
      <c r="A151" s="403"/>
      <c r="B151" s="397">
        <v>1282</v>
      </c>
      <c r="C151" s="406">
        <v>1431.07573</v>
      </c>
      <c r="D151" s="406">
        <v>0</v>
      </c>
    </row>
    <row r="152" spans="1:4" hidden="1">
      <c r="A152" s="403"/>
      <c r="B152" s="397">
        <v>1284</v>
      </c>
      <c r="C152" s="406">
        <v>11390.822819999999</v>
      </c>
      <c r="D152" s="406">
        <v>3750</v>
      </c>
    </row>
    <row r="153" spans="1:4" hidden="1">
      <c r="A153" s="403"/>
      <c r="B153" s="397">
        <v>1400</v>
      </c>
      <c r="C153" s="406">
        <v>796858.31900000002</v>
      </c>
      <c r="D153" s="406">
        <v>89.347750000000005</v>
      </c>
    </row>
    <row r="154" spans="1:4" hidden="1">
      <c r="A154" s="403"/>
      <c r="B154" s="397">
        <v>1420</v>
      </c>
      <c r="C154" s="406">
        <v>796858.31900000002</v>
      </c>
      <c r="D154" s="406">
        <v>0</v>
      </c>
    </row>
    <row r="155" spans="1:4" hidden="1">
      <c r="A155" s="403"/>
      <c r="B155" s="397">
        <v>1421</v>
      </c>
      <c r="C155" s="406">
        <v>796858.31900000002</v>
      </c>
      <c r="D155" s="406">
        <v>0</v>
      </c>
    </row>
    <row r="156" spans="1:4" hidden="1">
      <c r="A156" s="403"/>
      <c r="B156" s="397">
        <v>1430</v>
      </c>
      <c r="C156" s="406">
        <v>0</v>
      </c>
      <c r="D156" s="406">
        <v>89.347750000000005</v>
      </c>
    </row>
    <row r="157" spans="1:4" hidden="1">
      <c r="A157" s="403"/>
      <c r="B157" s="397">
        <v>1600</v>
      </c>
      <c r="C157" s="406">
        <v>296152.09482999996</v>
      </c>
      <c r="D157" s="406">
        <v>10025965.113369999</v>
      </c>
    </row>
    <row r="158" spans="1:4" hidden="1">
      <c r="A158" s="403"/>
      <c r="B158" s="397">
        <v>1610</v>
      </c>
      <c r="C158" s="406">
        <v>260505.77729</v>
      </c>
      <c r="D158" s="406">
        <v>9992274.1133699995</v>
      </c>
    </row>
    <row r="159" spans="1:4" hidden="1">
      <c r="A159" s="403"/>
      <c r="B159" s="397">
        <v>1630</v>
      </c>
      <c r="C159" s="406">
        <v>35646.317539999996</v>
      </c>
      <c r="D159" s="406">
        <v>33691</v>
      </c>
    </row>
    <row r="160" spans="1:4" hidden="1">
      <c r="A160" s="403"/>
      <c r="B160" s="397">
        <v>2900</v>
      </c>
      <c r="C160" s="406">
        <v>0</v>
      </c>
      <c r="D160" s="406">
        <v>165125.58100000001</v>
      </c>
    </row>
    <row r="161" spans="1:4" hidden="1">
      <c r="A161" s="403"/>
      <c r="B161" s="397">
        <v>2910</v>
      </c>
      <c r="C161" s="406">
        <v>0</v>
      </c>
      <c r="D161" s="406">
        <v>165125.58100000001</v>
      </c>
    </row>
    <row r="162" spans="1:4" hidden="1">
      <c r="A162" s="403"/>
      <c r="B162" s="397">
        <v>3100</v>
      </c>
      <c r="C162" s="406">
        <v>0</v>
      </c>
      <c r="D162" s="406">
        <v>664984.3637000001</v>
      </c>
    </row>
    <row r="163" spans="1:4" hidden="1">
      <c r="A163" s="403"/>
      <c r="B163" s="397">
        <v>3110</v>
      </c>
      <c r="C163" s="406">
        <v>0</v>
      </c>
      <c r="D163" s="406">
        <v>1070.6559999999999</v>
      </c>
    </row>
    <row r="164" spans="1:4" hidden="1">
      <c r="A164" s="403"/>
      <c r="B164" s="397">
        <v>3120</v>
      </c>
      <c r="C164" s="406">
        <v>0</v>
      </c>
      <c r="D164" s="406">
        <v>215163.07199999999</v>
      </c>
    </row>
    <row r="165" spans="1:4" hidden="1">
      <c r="A165" s="403"/>
      <c r="B165" s="397">
        <v>3130</v>
      </c>
      <c r="C165" s="406">
        <v>0</v>
      </c>
      <c r="D165" s="406">
        <v>17658.1767</v>
      </c>
    </row>
    <row r="166" spans="1:4" hidden="1">
      <c r="A166" s="403"/>
      <c r="B166" s="397">
        <v>3150</v>
      </c>
      <c r="C166" s="406">
        <v>0</v>
      </c>
      <c r="D166" s="406">
        <v>195630.685</v>
      </c>
    </row>
    <row r="167" spans="1:4" hidden="1">
      <c r="A167" s="403"/>
      <c r="B167" s="397">
        <v>3160</v>
      </c>
      <c r="C167" s="406">
        <v>0</v>
      </c>
      <c r="D167" s="406">
        <v>193.83600000000001</v>
      </c>
    </row>
    <row r="168" spans="1:4" hidden="1">
      <c r="A168" s="403"/>
      <c r="B168" s="397">
        <v>3170</v>
      </c>
      <c r="C168" s="406">
        <v>0</v>
      </c>
      <c r="D168" s="406">
        <v>4599.2579999999998</v>
      </c>
    </row>
    <row r="169" spans="1:4" hidden="1">
      <c r="A169" s="403"/>
      <c r="B169" s="397">
        <v>3180</v>
      </c>
      <c r="C169" s="406">
        <v>0</v>
      </c>
      <c r="D169" s="406">
        <v>2145.6280000000002</v>
      </c>
    </row>
    <row r="170" spans="1:4" hidden="1">
      <c r="A170" s="403"/>
      <c r="B170" s="397">
        <v>3190</v>
      </c>
      <c r="C170" s="406">
        <v>0</v>
      </c>
      <c r="D170" s="406">
        <v>228523.052</v>
      </c>
    </row>
    <row r="171" spans="1:4" hidden="1">
      <c r="A171" s="403"/>
      <c r="B171" s="397">
        <v>3200</v>
      </c>
      <c r="C171" s="406">
        <v>1242.8636000000001</v>
      </c>
      <c r="D171" s="406">
        <v>336817.18413999997</v>
      </c>
    </row>
    <row r="172" spans="1:4" hidden="1">
      <c r="A172" s="403"/>
      <c r="B172" s="397">
        <v>3210</v>
      </c>
      <c r="C172" s="406">
        <v>189.22499999999999</v>
      </c>
      <c r="D172" s="406">
        <v>95566.182000000001</v>
      </c>
    </row>
    <row r="173" spans="1:4" hidden="1">
      <c r="A173" s="403"/>
      <c r="B173" s="397">
        <v>3211</v>
      </c>
      <c r="C173" s="406">
        <v>116.393</v>
      </c>
      <c r="D173" s="406">
        <v>64020.457999999999</v>
      </c>
    </row>
    <row r="174" spans="1:4" hidden="1">
      <c r="A174" s="403"/>
      <c r="B174" s="397">
        <v>3212</v>
      </c>
      <c r="C174" s="406">
        <v>0</v>
      </c>
      <c r="D174" s="406">
        <v>11.696</v>
      </c>
    </row>
    <row r="175" spans="1:4" hidden="1">
      <c r="A175" s="403"/>
      <c r="B175" s="397">
        <v>3213</v>
      </c>
      <c r="C175" s="406">
        <v>72.831999999999994</v>
      </c>
      <c r="D175" s="406">
        <v>31534.027999999998</v>
      </c>
    </row>
    <row r="176" spans="1:4" hidden="1">
      <c r="A176" s="403"/>
      <c r="B176" s="397">
        <v>3220</v>
      </c>
      <c r="C176" s="406">
        <v>435.36440999999996</v>
      </c>
      <c r="D176" s="406">
        <v>237104.19802000001</v>
      </c>
    </row>
    <row r="177" spans="1:5" hidden="1">
      <c r="A177" s="403"/>
      <c r="B177" s="397">
        <v>3250</v>
      </c>
      <c r="C177" s="406">
        <v>618.27418999999998</v>
      </c>
      <c r="D177" s="406">
        <v>4146.8041199999998</v>
      </c>
    </row>
    <row r="178" spans="1:5" hidden="1">
      <c r="A178" s="403"/>
      <c r="B178" s="397">
        <v>3300</v>
      </c>
      <c r="C178" s="406">
        <v>11226.56466</v>
      </c>
      <c r="D178" s="406">
        <v>19509741.647399999</v>
      </c>
    </row>
    <row r="179" spans="1:5" hidden="1">
      <c r="A179" s="403"/>
      <c r="B179" s="397">
        <v>3310</v>
      </c>
      <c r="C179" s="406">
        <v>6967.8147199999994</v>
      </c>
      <c r="D179" s="406">
        <v>17333029.539900001</v>
      </c>
    </row>
    <row r="180" spans="1:5" hidden="1">
      <c r="A180" s="403"/>
      <c r="B180" s="397">
        <v>3350</v>
      </c>
      <c r="C180" s="406">
        <v>1857.0740000000001</v>
      </c>
      <c r="D180" s="406">
        <v>2129932.1653399998</v>
      </c>
    </row>
    <row r="181" spans="1:5" hidden="1">
      <c r="A181" s="403"/>
      <c r="B181" s="397">
        <v>3390</v>
      </c>
      <c r="C181" s="406">
        <v>2401.6759400000001</v>
      </c>
      <c r="D181" s="406">
        <v>46779.942159999999</v>
      </c>
    </row>
    <row r="182" spans="1:5" hidden="1">
      <c r="A182" s="403"/>
      <c r="B182" s="397">
        <v>3392</v>
      </c>
      <c r="C182" s="406">
        <v>798.96955000000003</v>
      </c>
      <c r="D182" s="406">
        <v>2040.6424999999999</v>
      </c>
    </row>
    <row r="183" spans="1:5" hidden="1">
      <c r="A183" s="403"/>
      <c r="B183" s="397">
        <v>3395</v>
      </c>
      <c r="C183" s="406">
        <v>582.61139000000003</v>
      </c>
      <c r="D183" s="406">
        <v>44244.588990000004</v>
      </c>
    </row>
    <row r="184" spans="1:5" hidden="1">
      <c r="A184" s="403"/>
      <c r="B184" s="397">
        <v>3396</v>
      </c>
      <c r="C184" s="406">
        <v>0</v>
      </c>
      <c r="D184" s="406">
        <v>83.72475</v>
      </c>
    </row>
    <row r="185" spans="1:5" hidden="1">
      <c r="A185" s="403"/>
      <c r="B185" s="397">
        <v>3397</v>
      </c>
      <c r="C185" s="406">
        <v>1020.095</v>
      </c>
      <c r="D185" s="406">
        <v>410.98591999999996</v>
      </c>
    </row>
    <row r="186" spans="1:5" hidden="1">
      <c r="A186" s="403"/>
      <c r="B186" s="397">
        <v>3500</v>
      </c>
      <c r="C186" s="406">
        <v>103324.96827</v>
      </c>
      <c r="D186" s="406">
        <v>7789345.9826199999</v>
      </c>
    </row>
    <row r="187" spans="1:5" hidden="1">
      <c r="A187" s="403"/>
      <c r="B187" s="397">
        <v>3510</v>
      </c>
      <c r="C187" s="406">
        <v>103324.96827</v>
      </c>
      <c r="D187" s="406">
        <v>7789345.9826199999</v>
      </c>
    </row>
    <row r="188" spans="1:5" hidden="1">
      <c r="A188" s="403"/>
      <c r="B188" s="397">
        <v>4000</v>
      </c>
      <c r="C188" s="406">
        <v>37334262.601429999</v>
      </c>
      <c r="D188" s="406">
        <v>21760481.838970002</v>
      </c>
    </row>
    <row r="189" spans="1:5" hidden="1">
      <c r="A189" s="403"/>
      <c r="B189" s="397">
        <v>4010</v>
      </c>
      <c r="C189" s="406">
        <v>37334262.601429999</v>
      </c>
      <c r="D189" s="406">
        <v>21760481.838970002</v>
      </c>
    </row>
    <row r="190" spans="1:5" hidden="1">
      <c r="A190" s="403"/>
      <c r="B190" s="397">
        <v>6200</v>
      </c>
      <c r="C190" s="406">
        <v>1116588.9402600001</v>
      </c>
      <c r="D190" s="406">
        <v>0</v>
      </c>
    </row>
    <row r="191" spans="1:5" hidden="1">
      <c r="A191" s="403"/>
      <c r="B191" s="397">
        <v>6250</v>
      </c>
      <c r="C191" s="406">
        <v>1116588.9402600001</v>
      </c>
      <c r="D191" s="406">
        <v>0</v>
      </c>
      <c r="E191">
        <v>1</v>
      </c>
    </row>
    <row r="192" spans="1:5" hidden="1">
      <c r="A192" s="403"/>
      <c r="B192" s="397">
        <v>7200</v>
      </c>
      <c r="C192" s="406">
        <v>0</v>
      </c>
      <c r="D192" s="406">
        <v>109609.54698</v>
      </c>
    </row>
    <row r="193" spans="1:5" hidden="1">
      <c r="A193" s="403"/>
      <c r="B193" s="397">
        <v>7210</v>
      </c>
      <c r="C193" s="406">
        <v>0</v>
      </c>
      <c r="D193" s="406">
        <v>102809.54698</v>
      </c>
    </row>
    <row r="194" spans="1:5" hidden="1">
      <c r="A194" s="403"/>
      <c r="B194" s="397">
        <v>7220</v>
      </c>
      <c r="C194" s="406">
        <v>0</v>
      </c>
      <c r="D194" s="406">
        <v>6800</v>
      </c>
    </row>
    <row r="195" spans="1:5" hidden="1">
      <c r="A195" s="403"/>
      <c r="B195" s="397">
        <v>7400</v>
      </c>
      <c r="C195" s="406">
        <v>0</v>
      </c>
      <c r="D195" s="406">
        <v>527235.93463000003</v>
      </c>
    </row>
    <row r="196" spans="1:5" hidden="1">
      <c r="A196" s="403"/>
      <c r="B196" s="397">
        <v>7430</v>
      </c>
      <c r="C196" s="406">
        <v>0</v>
      </c>
      <c r="D196" s="406">
        <v>527235.93463000003</v>
      </c>
      <c r="E196">
        <v>1</v>
      </c>
    </row>
    <row r="197" spans="1:5" hidden="1">
      <c r="A197" s="409"/>
      <c r="B197" s="409" t="s">
        <v>345</v>
      </c>
      <c r="C197" s="416">
        <v>190416798.36543003</v>
      </c>
      <c r="D197" s="416">
        <v>179829112.27039999</v>
      </c>
    </row>
    <row r="198" spans="1:5" hidden="1">
      <c r="A198" s="409"/>
      <c r="B198" s="409" t="s">
        <v>346</v>
      </c>
      <c r="C198" s="416">
        <v>10760622.483619999</v>
      </c>
      <c r="D198" s="416">
        <v>0</v>
      </c>
    </row>
    <row r="199" spans="1:5" hidden="1">
      <c r="A199" s="413">
        <v>1050</v>
      </c>
      <c r="B199" s="409" t="s">
        <v>344</v>
      </c>
      <c r="C199" s="416">
        <v>317000</v>
      </c>
      <c r="D199" s="416">
        <v>0</v>
      </c>
    </row>
    <row r="200" spans="1:5" hidden="1">
      <c r="A200" s="403"/>
      <c r="B200" s="397">
        <v>1000</v>
      </c>
      <c r="C200" s="406">
        <v>45604421.918369994</v>
      </c>
      <c r="D200" s="406">
        <v>39320693.253950007</v>
      </c>
    </row>
    <row r="201" spans="1:5" hidden="1">
      <c r="A201" s="403"/>
      <c r="B201" s="397">
        <v>1030</v>
      </c>
      <c r="C201" s="406">
        <v>45604421.918369994</v>
      </c>
      <c r="D201" s="406">
        <v>39320693.253950007</v>
      </c>
    </row>
    <row r="202" spans="1:5" hidden="1">
      <c r="A202" s="403"/>
      <c r="B202" s="397">
        <v>1200</v>
      </c>
      <c r="C202" s="406">
        <v>5510.9509900000003</v>
      </c>
      <c r="D202" s="406">
        <v>0</v>
      </c>
    </row>
    <row r="203" spans="1:5" hidden="1">
      <c r="A203" s="403"/>
      <c r="B203" s="397">
        <v>1270</v>
      </c>
      <c r="C203" s="406">
        <v>5510.9509900000003</v>
      </c>
      <c r="D203" s="406">
        <v>0</v>
      </c>
    </row>
    <row r="204" spans="1:5" hidden="1">
      <c r="A204" s="403"/>
      <c r="B204" s="397">
        <v>6200</v>
      </c>
      <c r="C204" s="406">
        <v>236070.55935</v>
      </c>
      <c r="D204" s="406">
        <v>0</v>
      </c>
    </row>
    <row r="205" spans="1:5" hidden="1">
      <c r="A205" s="403"/>
      <c r="B205" s="397">
        <v>6250</v>
      </c>
      <c r="C205" s="406">
        <v>236070.55935</v>
      </c>
      <c r="D205" s="406">
        <v>0</v>
      </c>
      <c r="E205">
        <v>1</v>
      </c>
    </row>
    <row r="206" spans="1:5" hidden="1">
      <c r="A206" s="403"/>
      <c r="B206" s="397">
        <v>7400</v>
      </c>
      <c r="C206" s="406">
        <v>0</v>
      </c>
      <c r="D206" s="406">
        <v>109041.59345</v>
      </c>
    </row>
    <row r="207" spans="1:5" hidden="1">
      <c r="A207" s="403"/>
      <c r="B207" s="397">
        <v>7430</v>
      </c>
      <c r="C207" s="406">
        <v>0</v>
      </c>
      <c r="D207" s="406">
        <v>109041.59345</v>
      </c>
      <c r="E207">
        <v>1</v>
      </c>
    </row>
    <row r="208" spans="1:5" hidden="1">
      <c r="A208" s="409"/>
      <c r="B208" s="409" t="s">
        <v>345</v>
      </c>
      <c r="C208" s="416">
        <v>45846003.428709999</v>
      </c>
      <c r="D208" s="416">
        <v>39429734.847400002</v>
      </c>
    </row>
    <row r="209" spans="1:9" hidden="1">
      <c r="A209" s="409"/>
      <c r="B209" s="409" t="s">
        <v>346</v>
      </c>
      <c r="C209" s="416">
        <v>6733268.5813099993</v>
      </c>
      <c r="D209" s="416">
        <v>0</v>
      </c>
    </row>
    <row r="210" spans="1:9" hidden="1">
      <c r="A210" s="413">
        <v>1060</v>
      </c>
      <c r="B210" s="409" t="s">
        <v>344</v>
      </c>
      <c r="C210" s="416">
        <v>0</v>
      </c>
      <c r="D210" s="416">
        <v>0</v>
      </c>
    </row>
    <row r="211" spans="1:9" hidden="1">
      <c r="A211" s="403"/>
      <c r="B211" s="397">
        <v>1000</v>
      </c>
      <c r="C211" s="406">
        <v>16403.955300000001</v>
      </c>
      <c r="D211" s="406">
        <v>0</v>
      </c>
    </row>
    <row r="212" spans="1:9" hidden="1">
      <c r="A212" s="403"/>
      <c r="B212" s="397">
        <v>1030</v>
      </c>
      <c r="C212" s="406">
        <v>16403.955300000001</v>
      </c>
      <c r="D212" s="406">
        <v>0</v>
      </c>
    </row>
    <row r="213" spans="1:9" hidden="1">
      <c r="A213" s="409"/>
      <c r="B213" s="409" t="s">
        <v>345</v>
      </c>
      <c r="C213" s="416">
        <v>16403.955300000001</v>
      </c>
      <c r="D213" s="416">
        <v>0</v>
      </c>
    </row>
    <row r="214" spans="1:9" hidden="1">
      <c r="A214" s="409"/>
      <c r="B214" s="409" t="s">
        <v>346</v>
      </c>
      <c r="C214" s="416">
        <v>16403.955300000001</v>
      </c>
      <c r="D214" s="416">
        <v>0</v>
      </c>
    </row>
    <row r="215" spans="1:9" hidden="1">
      <c r="A215" s="409"/>
      <c r="B215" s="412" t="s">
        <v>345</v>
      </c>
      <c r="C215" s="415">
        <v>271652124.74097997</v>
      </c>
      <c r="D215" s="415">
        <v>254631418.49857</v>
      </c>
    </row>
    <row r="216" spans="1:9" hidden="1">
      <c r="A216" s="409"/>
      <c r="B216" s="412" t="s">
        <v>346</v>
      </c>
      <c r="C216" s="415">
        <v>17511441.008189999</v>
      </c>
      <c r="D216" s="415">
        <v>0</v>
      </c>
    </row>
    <row r="217" spans="1:9">
      <c r="A217" s="414"/>
      <c r="B217" s="414"/>
      <c r="C217" s="414"/>
      <c r="D217" s="414"/>
    </row>
    <row r="218" spans="1:9">
      <c r="F218" t="s">
        <v>2275</v>
      </c>
      <c r="I218" s="269">
        <f>SUM(I97:I98)+SUM(I3:I7)</f>
        <v>-379909.58517999994</v>
      </c>
    </row>
    <row r="222" spans="1:9">
      <c r="A222" s="210" t="s">
        <v>394</v>
      </c>
      <c r="F222" s="5">
        <f>-(Forex!I229+Forex!I231)</f>
        <v>1039019</v>
      </c>
    </row>
    <row r="225" spans="1:13">
      <c r="B225" t="s">
        <v>2442</v>
      </c>
      <c r="C225" t="s">
        <v>2443</v>
      </c>
      <c r="D225" s="124" t="s">
        <v>2274</v>
      </c>
    </row>
    <row r="226" spans="1:13">
      <c r="A226">
        <v>1020</v>
      </c>
      <c r="B226" s="5">
        <v>9317.0712299999996</v>
      </c>
      <c r="C226" s="5">
        <v>-334736.32410000003</v>
      </c>
      <c r="D226" s="269">
        <f t="shared" ref="D226:D238" si="3">ROUND(C226+B226,0)</f>
        <v>-325419</v>
      </c>
      <c r="E226" s="435" t="s">
        <v>24</v>
      </c>
      <c r="F226" s="5"/>
      <c r="H226" s="435" t="s">
        <v>24</v>
      </c>
      <c r="I226" s="509">
        <f t="shared" ref="I226:I235" si="4">SUMIF($E:$E,H226,$D:$D)</f>
        <v>379910</v>
      </c>
      <c r="M226" s="66"/>
    </row>
    <row r="227" spans="1:13">
      <c r="A227">
        <v>1030</v>
      </c>
      <c r="B227" s="5">
        <v>20614.454829999999</v>
      </c>
      <c r="C227" s="5">
        <v>-31667.588309999999</v>
      </c>
      <c r="D227" s="269">
        <f t="shared" si="3"/>
        <v>-11053</v>
      </c>
      <c r="E227" s="435" t="s">
        <v>24</v>
      </c>
      <c r="F227" s="5"/>
      <c r="H227" s="435" t="s">
        <v>22</v>
      </c>
      <c r="I227" s="509">
        <f>SUMIF($E:$E,H227,$D:$D)</f>
        <v>784710</v>
      </c>
      <c r="K227" s="5">
        <f>-Forex!I227</f>
        <v>-784710</v>
      </c>
      <c r="M227" s="66"/>
    </row>
    <row r="228" spans="1:13">
      <c r="A228">
        <v>1110</v>
      </c>
      <c r="B228" s="5">
        <v>2522805.2971700002</v>
      </c>
      <c r="C228" s="5">
        <v>-1742147.5505599999</v>
      </c>
      <c r="D228" s="269">
        <f t="shared" si="3"/>
        <v>780658</v>
      </c>
      <c r="E228" s="435" t="s">
        <v>22</v>
      </c>
      <c r="F228" s="5"/>
      <c r="H228" s="435" t="s">
        <v>2038</v>
      </c>
      <c r="I228" s="509">
        <f t="shared" si="4"/>
        <v>5683</v>
      </c>
      <c r="M228" s="66"/>
    </row>
    <row r="229" spans="1:13">
      <c r="A229">
        <v>1750</v>
      </c>
      <c r="B229" s="5">
        <v>26793.9496</v>
      </c>
      <c r="C229" s="5">
        <v>-21111.382000000001</v>
      </c>
      <c r="D229" s="269">
        <f t="shared" si="3"/>
        <v>5683</v>
      </c>
      <c r="E229" s="435" t="s">
        <v>2038</v>
      </c>
      <c r="F229" s="5"/>
      <c r="H229" s="435" t="s">
        <v>37</v>
      </c>
      <c r="I229" s="5">
        <f>SUMIF($E:$E,H229,$D:$D)</f>
        <v>-2812383</v>
      </c>
      <c r="J229" s="5">
        <f>I229+I231</f>
        <v>-1039019</v>
      </c>
      <c r="M229" s="66"/>
    </row>
    <row r="230" spans="1:13">
      <c r="A230">
        <v>2010</v>
      </c>
      <c r="B230" s="5">
        <v>108814.97406000001</v>
      </c>
      <c r="C230" s="5">
        <v>-108814.97406000001</v>
      </c>
      <c r="D230" s="269">
        <f t="shared" si="3"/>
        <v>0</v>
      </c>
      <c r="E230" s="435" t="s">
        <v>22</v>
      </c>
      <c r="F230" s="5"/>
      <c r="H230" t="s">
        <v>38</v>
      </c>
      <c r="I230" s="509">
        <f t="shared" si="4"/>
        <v>-317514</v>
      </c>
      <c r="M230" s="66"/>
    </row>
    <row r="231" spans="1:13">
      <c r="A231">
        <v>2050</v>
      </c>
      <c r="B231" s="5">
        <v>12964.39518</v>
      </c>
      <c r="C231" s="5">
        <v>-8911.9585700000007</v>
      </c>
      <c r="D231" s="269">
        <f t="shared" si="3"/>
        <v>4052</v>
      </c>
      <c r="E231" s="435" t="s">
        <v>22</v>
      </c>
      <c r="F231" s="5"/>
      <c r="H231" s="435" t="s">
        <v>31</v>
      </c>
      <c r="I231" s="5">
        <f t="shared" si="4"/>
        <v>1773364</v>
      </c>
      <c r="M231" s="66"/>
    </row>
    <row r="232" spans="1:13">
      <c r="A232">
        <v>3010</v>
      </c>
      <c r="B232" s="5">
        <v>2953485.3648999995</v>
      </c>
      <c r="C232" s="5">
        <v>-5648516.2862099996</v>
      </c>
      <c r="D232" s="503">
        <f t="shared" si="3"/>
        <v>-2695031</v>
      </c>
      <c r="E232" s="435" t="s">
        <v>37</v>
      </c>
      <c r="F232" s="5"/>
      <c r="H232" s="435" t="s">
        <v>32</v>
      </c>
      <c r="I232" s="5">
        <f>SUMIF($E:$E,H232,$D:$D)</f>
        <v>-44258</v>
      </c>
      <c r="M232" s="66"/>
    </row>
    <row r="233" spans="1:13">
      <c r="A233">
        <v>3050</v>
      </c>
      <c r="B233" s="5">
        <v>82762.015489999991</v>
      </c>
      <c r="C233" s="5">
        <v>-87945.678180000003</v>
      </c>
      <c r="D233" s="503">
        <f t="shared" si="3"/>
        <v>-5184</v>
      </c>
      <c r="E233" s="435" t="s">
        <v>37</v>
      </c>
      <c r="F233" s="5"/>
      <c r="H233" t="s">
        <v>19</v>
      </c>
      <c r="I233" s="509">
        <f t="shared" si="4"/>
        <v>141</v>
      </c>
      <c r="M233" s="66"/>
    </row>
    <row r="234" spans="1:13">
      <c r="A234">
        <v>3310</v>
      </c>
      <c r="B234" s="5">
        <v>1102343.07886</v>
      </c>
      <c r="C234" s="5">
        <v>-1409071.7406600001</v>
      </c>
      <c r="D234" s="269">
        <f t="shared" si="3"/>
        <v>-306729</v>
      </c>
      <c r="E234" t="s">
        <v>38</v>
      </c>
      <c r="F234" s="5"/>
      <c r="H234" t="s">
        <v>12</v>
      </c>
      <c r="I234" s="509">
        <f t="shared" si="4"/>
        <v>160</v>
      </c>
      <c r="M234" s="66"/>
    </row>
    <row r="235" spans="1:13">
      <c r="A235">
        <v>3380</v>
      </c>
      <c r="B235" s="5">
        <v>3164.4813899999999</v>
      </c>
      <c r="C235" s="5">
        <v>-3769.61015</v>
      </c>
      <c r="D235" s="269">
        <f t="shared" si="3"/>
        <v>-605</v>
      </c>
      <c r="E235" s="435" t="s">
        <v>37</v>
      </c>
      <c r="F235" s="5"/>
      <c r="H235" s="5">
        <v>0</v>
      </c>
      <c r="I235" s="5">
        <f t="shared" si="4"/>
        <v>1335053.5777199999</v>
      </c>
      <c r="M235" s="66"/>
    </row>
    <row r="236" spans="1:13">
      <c r="A236">
        <v>4010</v>
      </c>
      <c r="B236" s="5">
        <v>12238494.66591</v>
      </c>
      <c r="C236" s="5">
        <v>-11357926.766630001</v>
      </c>
      <c r="D236" s="503">
        <f t="shared" si="3"/>
        <v>880568</v>
      </c>
      <c r="E236" s="435" t="s">
        <v>31</v>
      </c>
      <c r="F236" s="5"/>
      <c r="H236" s="435"/>
      <c r="I236" s="442"/>
      <c r="L236" s="292"/>
      <c r="M236" s="66"/>
    </row>
    <row r="237" spans="1:13">
      <c r="A237">
        <v>4051</v>
      </c>
      <c r="B237" s="5">
        <v>1943924.1953500002</v>
      </c>
      <c r="C237" s="5">
        <v>-76718.624309999999</v>
      </c>
      <c r="D237" s="503">
        <f t="shared" si="3"/>
        <v>1867206</v>
      </c>
      <c r="E237" s="435" t="s">
        <v>31</v>
      </c>
      <c r="F237" s="5"/>
      <c r="H237" s="435"/>
      <c r="I237" s="442"/>
      <c r="L237" s="292"/>
      <c r="M237" s="66"/>
    </row>
    <row r="238" spans="1:13">
      <c r="A238">
        <v>4110</v>
      </c>
      <c r="B238" s="5">
        <v>420419.81294999999</v>
      </c>
      <c r="C238" s="5">
        <v>-464677.61327999999</v>
      </c>
      <c r="D238" s="269">
        <f t="shared" si="3"/>
        <v>-44258</v>
      </c>
      <c r="E238" s="435" t="s">
        <v>32</v>
      </c>
      <c r="F238" s="5"/>
      <c r="H238" s="435"/>
      <c r="I238" s="442"/>
      <c r="L238" s="292"/>
      <c r="M238" s="66"/>
    </row>
    <row r="239" spans="1:13">
      <c r="B239" s="5"/>
      <c r="C239" s="436" t="s">
        <v>43</v>
      </c>
      <c r="D239" s="436" t="e">
        <f>ROUND(ББ!#REF!-SUM(D226:D238),0)</f>
        <v>#REF!</v>
      </c>
      <c r="H239" s="435"/>
      <c r="I239" s="442"/>
      <c r="L239" s="292"/>
      <c r="M239" s="66"/>
    </row>
    <row r="240" spans="1:13">
      <c r="B240" s="5"/>
      <c r="H240" s="435"/>
      <c r="I240" s="442"/>
      <c r="L240" s="292"/>
      <c r="M240" s="66"/>
    </row>
    <row r="241" spans="1:13">
      <c r="A241" s="60" t="s">
        <v>395</v>
      </c>
      <c r="F241" s="60"/>
      <c r="L241" s="292"/>
      <c r="M241" s="66"/>
    </row>
    <row r="242" spans="1:13">
      <c r="L242" s="292"/>
      <c r="M242" s="66"/>
    </row>
    <row r="243" spans="1:13">
      <c r="L243" s="292"/>
      <c r="M243" s="66"/>
    </row>
    <row r="244" spans="1:13">
      <c r="B244" t="s">
        <v>2442</v>
      </c>
      <c r="C244" t="s">
        <v>2443</v>
      </c>
      <c r="D244" s="124" t="s">
        <v>2274</v>
      </c>
      <c r="L244" s="292"/>
      <c r="M244" s="66"/>
    </row>
    <row r="245" spans="1:13">
      <c r="A245">
        <v>1030</v>
      </c>
      <c r="B245" s="5">
        <v>1116588.9402600001</v>
      </c>
      <c r="C245" s="5">
        <v>-527235.93463000003</v>
      </c>
      <c r="D245" s="269">
        <f t="shared" ref="D245:D253" si="5">ROUND(C245+B245,0)</f>
        <v>589353</v>
      </c>
      <c r="E245" s="5" t="s">
        <v>24</v>
      </c>
      <c r="F245" s="292"/>
      <c r="H245" s="5"/>
      <c r="L245" s="292"/>
      <c r="M245" s="66"/>
    </row>
    <row r="246" spans="1:13">
      <c r="A246">
        <v>1050</v>
      </c>
      <c r="B246" s="5">
        <v>236070.55935</v>
      </c>
      <c r="C246" s="5">
        <v>-109041.59345</v>
      </c>
      <c r="D246" s="269">
        <f t="shared" si="5"/>
        <v>127029</v>
      </c>
      <c r="E246" t="s">
        <v>24</v>
      </c>
      <c r="F246" s="292"/>
      <c r="L246" s="292"/>
      <c r="M246" s="66"/>
    </row>
    <row r="247" spans="1:13">
      <c r="A247">
        <v>1280</v>
      </c>
      <c r="B247" s="5">
        <v>175.41152</v>
      </c>
      <c r="C247" s="5">
        <v>-34.300160000000005</v>
      </c>
      <c r="D247" s="269">
        <f t="shared" si="5"/>
        <v>141</v>
      </c>
      <c r="E247" t="s">
        <v>19</v>
      </c>
      <c r="F247" s="292"/>
      <c r="L247" s="292"/>
      <c r="M247" s="66"/>
    </row>
    <row r="248" spans="1:13">
      <c r="A248">
        <v>1610</v>
      </c>
      <c r="B248" s="5">
        <v>162.12081000000001</v>
      </c>
      <c r="C248" s="5">
        <v>-1.91</v>
      </c>
      <c r="D248" s="269">
        <f t="shared" si="5"/>
        <v>160</v>
      </c>
      <c r="E248" t="s">
        <v>12</v>
      </c>
      <c r="F248" s="292"/>
      <c r="L248" s="292"/>
      <c r="M248" s="66"/>
    </row>
    <row r="249" spans="1:13">
      <c r="A249">
        <v>3310</v>
      </c>
      <c r="B249" s="5">
        <v>1008.23759</v>
      </c>
      <c r="C249" s="5">
        <v>-11793.42376</v>
      </c>
      <c r="D249" s="269">
        <f t="shared" si="5"/>
        <v>-10785</v>
      </c>
      <c r="E249" t="s">
        <v>38</v>
      </c>
      <c r="F249" s="292"/>
      <c r="M249" s="66"/>
    </row>
    <row r="250" spans="1:13">
      <c r="A250">
        <v>3010</v>
      </c>
      <c r="B250" s="5">
        <v>0</v>
      </c>
      <c r="C250" s="5">
        <v>-111105.17714</v>
      </c>
      <c r="D250" s="269">
        <f t="shared" si="5"/>
        <v>-111105</v>
      </c>
      <c r="E250" t="s">
        <v>37</v>
      </c>
      <c r="F250" s="292"/>
      <c r="M250" s="66"/>
    </row>
    <row r="251" spans="1:13">
      <c r="A251">
        <v>3350</v>
      </c>
      <c r="B251" s="5">
        <v>0</v>
      </c>
      <c r="C251" s="5">
        <v>-3.2000000000000003E-4</v>
      </c>
      <c r="D251" s="269">
        <f t="shared" si="5"/>
        <v>0</v>
      </c>
      <c r="E251" s="5">
        <v>0</v>
      </c>
      <c r="F251" s="292"/>
      <c r="M251" s="153"/>
    </row>
    <row r="252" spans="1:13">
      <c r="A252">
        <v>3380</v>
      </c>
      <c r="B252" s="5">
        <v>0</v>
      </c>
      <c r="C252" s="5">
        <v>-458.25044000000003</v>
      </c>
      <c r="D252" s="269">
        <f t="shared" si="5"/>
        <v>-458</v>
      </c>
      <c r="E252" t="s">
        <v>37</v>
      </c>
      <c r="F252" s="292"/>
      <c r="M252" s="66"/>
    </row>
    <row r="253" spans="1:13">
      <c r="A253">
        <v>4010</v>
      </c>
      <c r="B253" s="5">
        <v>0</v>
      </c>
      <c r="C253" s="5">
        <v>-974409.77932000009</v>
      </c>
      <c r="D253" s="269">
        <f t="shared" si="5"/>
        <v>-974410</v>
      </c>
      <c r="E253" t="s">
        <v>31</v>
      </c>
      <c r="F253" s="292"/>
      <c r="M253" s="66"/>
    </row>
    <row r="254" spans="1:13">
      <c r="C254" s="436" t="s">
        <v>43</v>
      </c>
      <c r="D254" s="269">
        <f>ROUND('ОСВ Technology'!E121+'ОСВ Technology'!E130+SUM(D245:D253),0)</f>
        <v>0</v>
      </c>
      <c r="F254" s="292"/>
      <c r="M254" s="2"/>
    </row>
    <row r="255" spans="1:13">
      <c r="M255" s="2"/>
    </row>
    <row r="256" spans="1:13">
      <c r="M256" s="2"/>
    </row>
    <row r="257" spans="1:13">
      <c r="A257" s="428" t="s">
        <v>342</v>
      </c>
      <c r="B257" s="429" t="s">
        <v>343</v>
      </c>
      <c r="C257" s="429" t="s">
        <v>54</v>
      </c>
      <c r="D257" s="429" t="s">
        <v>55</v>
      </c>
      <c r="M257" s="2"/>
    </row>
    <row r="258" spans="1:13" ht="24">
      <c r="A258" s="402">
        <v>1410</v>
      </c>
      <c r="B258" s="439" t="s">
        <v>344</v>
      </c>
      <c r="C258" s="441">
        <v>20780.718410000001</v>
      </c>
      <c r="D258" s="441">
        <v>0</v>
      </c>
      <c r="M258" s="2"/>
    </row>
    <row r="259" spans="1:13">
      <c r="A259" s="430"/>
      <c r="B259" s="397">
        <v>1000</v>
      </c>
      <c r="C259" s="434">
        <v>144732.43400000001</v>
      </c>
      <c r="D259" s="434">
        <v>0</v>
      </c>
      <c r="E259" s="5">
        <f>ROUND(C259,0)</f>
        <v>144732</v>
      </c>
      <c r="M259" s="2"/>
    </row>
    <row r="260" spans="1:13">
      <c r="A260" s="430"/>
      <c r="B260" s="397">
        <v>3100</v>
      </c>
      <c r="C260" s="434">
        <v>0</v>
      </c>
      <c r="D260" s="434">
        <v>71348.35229000001</v>
      </c>
      <c r="M260" s="2"/>
    </row>
    <row r="261" spans="1:13">
      <c r="A261" s="431"/>
      <c r="B261" s="397">
        <v>3190</v>
      </c>
      <c r="C261" s="434">
        <v>0</v>
      </c>
      <c r="D261" s="434">
        <v>442.89328999999998</v>
      </c>
      <c r="M261" s="2"/>
    </row>
    <row r="262" spans="1:13">
      <c r="A262" s="398"/>
      <c r="B262" s="439" t="s">
        <v>345</v>
      </c>
      <c r="C262" s="441">
        <v>144732.43400000001</v>
      </c>
      <c r="D262" s="441">
        <v>71348.35229000001</v>
      </c>
      <c r="M262" s="2"/>
    </row>
    <row r="263" spans="1:13" ht="24">
      <c r="A263" s="398"/>
      <c r="B263" s="439" t="s">
        <v>346</v>
      </c>
      <c r="C263" s="441">
        <v>94164.80012</v>
      </c>
      <c r="D263" s="441">
        <v>0</v>
      </c>
      <c r="M263" s="2"/>
    </row>
    <row r="264" spans="1:13">
      <c r="M264" s="2"/>
    </row>
    <row r="265" spans="1:13">
      <c r="M265" s="2"/>
    </row>
    <row r="266" spans="1:13">
      <c r="M266" s="2"/>
    </row>
    <row r="267" spans="1:13">
      <c r="A267" s="210" t="s">
        <v>394</v>
      </c>
      <c r="M267" s="2"/>
    </row>
    <row r="268" spans="1:13">
      <c r="A268" s="428" t="s">
        <v>342</v>
      </c>
      <c r="B268" s="429" t="s">
        <v>343</v>
      </c>
      <c r="C268" s="429" t="s">
        <v>54</v>
      </c>
      <c r="D268" s="429" t="s">
        <v>55</v>
      </c>
      <c r="M268" s="2"/>
    </row>
    <row r="269" spans="1:13" ht="24">
      <c r="A269" s="408">
        <v>1360</v>
      </c>
      <c r="B269" s="443" t="s">
        <v>344</v>
      </c>
      <c r="C269" s="444">
        <v>0</v>
      </c>
      <c r="D269" s="444">
        <v>1330421.9465599998</v>
      </c>
      <c r="M269" s="2"/>
    </row>
    <row r="270" spans="1:13">
      <c r="A270" s="430"/>
      <c r="B270" s="397">
        <v>1200</v>
      </c>
      <c r="C270" s="434">
        <v>1758.36817</v>
      </c>
      <c r="D270" s="434">
        <v>0</v>
      </c>
      <c r="M270" s="2"/>
    </row>
    <row r="271" spans="1:13">
      <c r="A271" s="431"/>
      <c r="B271" s="397">
        <v>1250</v>
      </c>
      <c r="C271" s="434">
        <v>1758.36817</v>
      </c>
      <c r="D271" s="434">
        <v>0</v>
      </c>
      <c r="M271" s="2"/>
    </row>
    <row r="272" spans="1:13">
      <c r="A272" s="430"/>
      <c r="B272" s="397">
        <v>1300</v>
      </c>
      <c r="C272" s="434">
        <v>189375.00596000001</v>
      </c>
      <c r="D272" s="434">
        <v>0</v>
      </c>
      <c r="M272" s="2"/>
    </row>
    <row r="273" spans="1:13">
      <c r="A273" s="431"/>
      <c r="B273" s="397">
        <v>1310</v>
      </c>
      <c r="C273" s="434">
        <v>186419.65430000002</v>
      </c>
      <c r="D273" s="434">
        <v>0</v>
      </c>
      <c r="M273" s="2"/>
    </row>
    <row r="274" spans="1:13">
      <c r="A274" s="432"/>
      <c r="B274" s="397">
        <v>1315</v>
      </c>
      <c r="C274" s="434">
        <v>52296.542450000001</v>
      </c>
      <c r="D274" s="434">
        <v>0</v>
      </c>
      <c r="M274" s="2"/>
    </row>
    <row r="275" spans="1:13">
      <c r="A275" s="432"/>
      <c r="B275" s="397">
        <v>1316</v>
      </c>
      <c r="C275" s="434">
        <v>13490.495710000001</v>
      </c>
      <c r="D275" s="434">
        <v>0</v>
      </c>
      <c r="M275" s="2"/>
    </row>
    <row r="276" spans="1:13">
      <c r="A276" s="431"/>
      <c r="B276" s="397">
        <v>1350</v>
      </c>
      <c r="C276" s="434">
        <v>2952.3853199999999</v>
      </c>
      <c r="D276" s="434">
        <v>0</v>
      </c>
      <c r="M276" s="2"/>
    </row>
    <row r="277" spans="1:13">
      <c r="A277" s="432"/>
      <c r="B277" s="397">
        <v>1354</v>
      </c>
      <c r="C277" s="434">
        <v>2941.7899500000003</v>
      </c>
      <c r="D277" s="434">
        <v>0</v>
      </c>
      <c r="M277" s="2"/>
    </row>
    <row r="278" spans="1:13">
      <c r="A278" s="432"/>
      <c r="B278" s="397">
        <v>1355</v>
      </c>
      <c r="C278" s="434">
        <v>10.595370000000001</v>
      </c>
      <c r="D278" s="434">
        <v>0</v>
      </c>
      <c r="M278" s="2"/>
    </row>
    <row r="279" spans="1:13">
      <c r="A279" s="430"/>
      <c r="B279" s="397">
        <v>7400</v>
      </c>
      <c r="C279" s="434">
        <v>516220.53337000002</v>
      </c>
      <c r="D279" s="434">
        <v>634397.15204999992</v>
      </c>
      <c r="M279" s="2"/>
    </row>
    <row r="280" spans="1:13">
      <c r="A280" s="431"/>
      <c r="B280" s="397">
        <v>7420</v>
      </c>
      <c r="C280" s="434">
        <v>516220.53337000002</v>
      </c>
      <c r="D280" s="434">
        <v>634397.15204999992</v>
      </c>
      <c r="M280" s="2"/>
    </row>
    <row r="281" spans="1:13">
      <c r="A281" s="409"/>
      <c r="B281" s="443" t="s">
        <v>345</v>
      </c>
      <c r="C281" s="444">
        <v>707353.90749999997</v>
      </c>
      <c r="D281" s="444">
        <v>634397.15204999992</v>
      </c>
      <c r="M281" s="2"/>
    </row>
    <row r="282" spans="1:13" ht="24">
      <c r="A282" s="409"/>
      <c r="B282" s="443" t="s">
        <v>346</v>
      </c>
      <c r="C282" s="444">
        <v>0</v>
      </c>
      <c r="D282" s="444">
        <v>1257465.1911100002</v>
      </c>
      <c r="M282" s="2"/>
    </row>
    <row r="286" spans="1:13">
      <c r="A286" s="445" t="s">
        <v>361</v>
      </c>
      <c r="M286" s="5"/>
    </row>
    <row r="287" spans="1:13">
      <c r="A287" s="428" t="s">
        <v>342</v>
      </c>
      <c r="B287" s="429" t="s">
        <v>343</v>
      </c>
      <c r="C287" s="429" t="s">
        <v>54</v>
      </c>
      <c r="D287" s="429" t="s">
        <v>55</v>
      </c>
      <c r="M287" s="2"/>
    </row>
    <row r="288" spans="1:13" ht="24">
      <c r="A288" s="402">
        <v>6110</v>
      </c>
      <c r="B288" s="439" t="s">
        <v>344</v>
      </c>
      <c r="C288" s="440"/>
      <c r="D288" s="440"/>
      <c r="M288" s="2"/>
    </row>
    <row r="289" spans="1:14">
      <c r="A289" s="430"/>
      <c r="B289" s="397">
        <v>1000</v>
      </c>
      <c r="C289" s="434">
        <v>0</v>
      </c>
      <c r="D289" s="434">
        <v>60484.964119999997</v>
      </c>
      <c r="M289" s="2"/>
    </row>
    <row r="290" spans="1:14">
      <c r="A290" s="431"/>
      <c r="B290" s="397">
        <v>1030</v>
      </c>
      <c r="C290" s="434">
        <v>0</v>
      </c>
      <c r="D290" s="434">
        <v>60484.964119999997</v>
      </c>
      <c r="F290">
        <v>1030</v>
      </c>
      <c r="G290" s="5">
        <f>ROUND(D290,0)</f>
        <v>60485</v>
      </c>
      <c r="M290" s="2"/>
    </row>
    <row r="291" spans="1:14">
      <c r="A291" s="430"/>
      <c r="B291" s="397">
        <v>2000</v>
      </c>
      <c r="C291" s="434">
        <v>0</v>
      </c>
      <c r="D291" s="434">
        <v>1744782.7620899999</v>
      </c>
      <c r="F291">
        <v>2050</v>
      </c>
      <c r="G291" s="5" t="e">
        <f>ROUND(E292+D292,0)</f>
        <v>#REF!</v>
      </c>
      <c r="M291" s="2"/>
    </row>
    <row r="292" spans="1:14">
      <c r="A292" s="431"/>
      <c r="B292" s="397">
        <v>2050</v>
      </c>
      <c r="C292" s="434">
        <v>0</v>
      </c>
      <c r="D292" s="434">
        <v>1744782.7620899999</v>
      </c>
      <c r="E292" s="5" t="e">
        <f>ББ!#REF!</f>
        <v>#REF!</v>
      </c>
      <c r="F292">
        <v>1270</v>
      </c>
      <c r="G292" s="5">
        <f>ROUND(I301,0)</f>
        <v>41146</v>
      </c>
      <c r="M292" s="2"/>
    </row>
    <row r="293" spans="1:14">
      <c r="A293" s="430"/>
      <c r="B293" s="397">
        <v>5700</v>
      </c>
      <c r="C293" s="434">
        <v>1805267.7262099998</v>
      </c>
      <c r="D293" s="434">
        <v>0</v>
      </c>
      <c r="M293" s="2"/>
    </row>
    <row r="294" spans="1:14">
      <c r="A294" s="431"/>
      <c r="B294" s="397">
        <v>5710</v>
      </c>
      <c r="C294" s="434">
        <v>1805267.7262099998</v>
      </c>
      <c r="D294" s="434">
        <v>0</v>
      </c>
      <c r="H294" s="5"/>
      <c r="M294" s="2"/>
    </row>
    <row r="295" spans="1:14">
      <c r="A295" s="398"/>
      <c r="B295" s="439" t="s">
        <v>345</v>
      </c>
      <c r="C295" s="441">
        <v>1805267.7262099998</v>
      </c>
      <c r="D295" s="441">
        <v>1805267.7262099998</v>
      </c>
      <c r="M295" s="2"/>
    </row>
    <row r="296" spans="1:14" ht="24">
      <c r="A296" s="398"/>
      <c r="B296" s="439" t="s">
        <v>346</v>
      </c>
      <c r="C296" s="440"/>
      <c r="D296" s="440"/>
      <c r="M296" s="2"/>
    </row>
    <row r="297" spans="1:14">
      <c r="K297">
        <v>1000</v>
      </c>
      <c r="M297" s="2"/>
    </row>
    <row r="298" spans="1:14">
      <c r="A298" s="428" t="s">
        <v>342</v>
      </c>
      <c r="B298" s="429" t="s">
        <v>343</v>
      </c>
      <c r="C298" s="429" t="s">
        <v>54</v>
      </c>
      <c r="D298" s="429" t="s">
        <v>55</v>
      </c>
      <c r="F298" s="437" t="s">
        <v>342</v>
      </c>
      <c r="G298" s="438" t="s">
        <v>343</v>
      </c>
      <c r="H298" s="438" t="s">
        <v>54</v>
      </c>
      <c r="I298" s="438" t="s">
        <v>55</v>
      </c>
      <c r="K298" s="437" t="s">
        <v>342</v>
      </c>
      <c r="L298" s="438" t="s">
        <v>343</v>
      </c>
      <c r="M298" s="438" t="s">
        <v>54</v>
      </c>
      <c r="N298" s="438" t="s">
        <v>55</v>
      </c>
    </row>
    <row r="299" spans="1:14" ht="36">
      <c r="A299" s="402">
        <v>6160</v>
      </c>
      <c r="B299" s="439" t="s">
        <v>344</v>
      </c>
      <c r="C299" s="440"/>
      <c r="D299" s="440"/>
      <c r="F299" s="402">
        <v>6110</v>
      </c>
      <c r="G299" s="439" t="s">
        <v>344</v>
      </c>
      <c r="H299" s="440"/>
      <c r="I299" s="440"/>
      <c r="K299" s="402">
        <v>1270</v>
      </c>
      <c r="L299" s="439" t="s">
        <v>344</v>
      </c>
      <c r="M299" s="440"/>
      <c r="N299" s="440"/>
    </row>
    <row r="300" spans="1:14">
      <c r="A300" s="430"/>
      <c r="B300" s="397">
        <v>3000</v>
      </c>
      <c r="C300" s="434">
        <v>0</v>
      </c>
      <c r="D300" s="434">
        <v>28951.648399999998</v>
      </c>
      <c r="F300" s="430"/>
      <c r="G300" s="397">
        <v>1200</v>
      </c>
      <c r="H300" s="434">
        <v>0</v>
      </c>
      <c r="I300" s="434">
        <v>41145.98259</v>
      </c>
      <c r="K300" s="430"/>
      <c r="L300" s="397">
        <v>1000</v>
      </c>
      <c r="M300" s="434">
        <v>0</v>
      </c>
      <c r="N300" s="434">
        <v>34974.084080000001</v>
      </c>
    </row>
    <row r="301" spans="1:14">
      <c r="A301" s="431"/>
      <c r="B301" s="397">
        <v>3010</v>
      </c>
      <c r="C301" s="434">
        <v>0</v>
      </c>
      <c r="D301" s="434">
        <v>5941.9203099999995</v>
      </c>
      <c r="F301" s="431"/>
      <c r="G301" s="397">
        <v>1270</v>
      </c>
      <c r="H301" s="434">
        <v>0</v>
      </c>
      <c r="I301" s="434">
        <v>41145.98259</v>
      </c>
      <c r="K301" s="430"/>
      <c r="L301" s="397">
        <v>1400</v>
      </c>
      <c r="M301" s="434">
        <v>0</v>
      </c>
      <c r="N301" s="434">
        <v>6171.89851</v>
      </c>
    </row>
    <row r="302" spans="1:14">
      <c r="A302" s="431"/>
      <c r="B302" s="397">
        <v>3060</v>
      </c>
      <c r="C302" s="434">
        <v>0</v>
      </c>
      <c r="D302" s="434">
        <v>23009.728090000001</v>
      </c>
      <c r="F302" s="430"/>
      <c r="G302" s="397">
        <v>5600</v>
      </c>
      <c r="H302" s="434">
        <v>41145.982590000007</v>
      </c>
      <c r="I302" s="434">
        <v>0</v>
      </c>
      <c r="K302" s="430"/>
      <c r="L302" s="397">
        <v>6100</v>
      </c>
      <c r="M302" s="434">
        <v>41145.982590000007</v>
      </c>
      <c r="N302" s="434">
        <v>0</v>
      </c>
    </row>
    <row r="303" spans="1:14">
      <c r="A303" s="432"/>
      <c r="B303" s="397">
        <v>3061</v>
      </c>
      <c r="C303" s="434">
        <v>0</v>
      </c>
      <c r="D303" s="434">
        <v>23009.728090000001</v>
      </c>
      <c r="F303" s="431"/>
      <c r="G303" s="397">
        <v>5610</v>
      </c>
      <c r="H303" s="434">
        <v>41145.982590000007</v>
      </c>
      <c r="I303" s="434">
        <v>0</v>
      </c>
      <c r="K303" s="398"/>
      <c r="L303" s="439" t="s">
        <v>345</v>
      </c>
      <c r="M303" s="441">
        <v>41145.982590000007</v>
      </c>
      <c r="N303" s="441">
        <v>41145.982590000007</v>
      </c>
    </row>
    <row r="304" spans="1:14">
      <c r="A304" s="430"/>
      <c r="B304" s="397">
        <v>4000</v>
      </c>
      <c r="C304" s="434">
        <v>0</v>
      </c>
      <c r="D304" s="446">
        <v>-270469.26799999998</v>
      </c>
      <c r="F304" s="398"/>
      <c r="G304" s="439" t="s">
        <v>345</v>
      </c>
      <c r="H304" s="441">
        <v>41145.982590000007</v>
      </c>
      <c r="I304" s="441">
        <v>41145.982590000007</v>
      </c>
      <c r="M304" s="2"/>
    </row>
    <row r="305" spans="1:13" ht="24">
      <c r="A305" s="431"/>
      <c r="B305" s="397">
        <v>4050</v>
      </c>
      <c r="C305" s="434">
        <v>0</v>
      </c>
      <c r="D305" s="446">
        <v>-270469.26799999998</v>
      </c>
      <c r="F305" s="398"/>
      <c r="G305" s="439" t="s">
        <v>346</v>
      </c>
      <c r="H305" s="440"/>
      <c r="I305" s="440"/>
    </row>
    <row r="306" spans="1:13">
      <c r="A306" s="432"/>
      <c r="B306" s="397">
        <v>4052</v>
      </c>
      <c r="C306" s="434">
        <v>0</v>
      </c>
      <c r="D306" s="446">
        <v>-185643.03075999999</v>
      </c>
      <c r="M306" s="2"/>
    </row>
    <row r="307" spans="1:13">
      <c r="A307" s="432"/>
      <c r="B307" s="397">
        <v>4053</v>
      </c>
      <c r="C307" s="434">
        <v>0</v>
      </c>
      <c r="D307" s="446">
        <v>-84826.237239999988</v>
      </c>
      <c r="M307" s="2"/>
    </row>
    <row r="308" spans="1:13">
      <c r="A308" s="430"/>
      <c r="B308" s="397">
        <v>5700</v>
      </c>
      <c r="C308" s="446">
        <v>-241517.61960000001</v>
      </c>
      <c r="D308" s="434">
        <v>0</v>
      </c>
      <c r="M308" s="2"/>
    </row>
    <row r="309" spans="1:13">
      <c r="A309" s="431"/>
      <c r="B309" s="397">
        <v>5710</v>
      </c>
      <c r="C309" s="446">
        <v>-241517.61960000001</v>
      </c>
      <c r="D309" s="434">
        <v>0</v>
      </c>
      <c r="M309" s="2"/>
    </row>
    <row r="310" spans="1:13">
      <c r="A310" s="398"/>
      <c r="B310" s="439" t="s">
        <v>345</v>
      </c>
      <c r="C310" s="447">
        <v>-241517.61960000001</v>
      </c>
      <c r="D310" s="447">
        <v>-241517.61960000001</v>
      </c>
      <c r="M310" s="2"/>
    </row>
    <row r="311" spans="1:13" ht="24">
      <c r="A311" s="398"/>
      <c r="B311" s="439" t="s">
        <v>346</v>
      </c>
      <c r="C311" s="440"/>
      <c r="D311" s="440"/>
      <c r="M311" s="2"/>
    </row>
    <row r="312" spans="1:13">
      <c r="M312" s="2"/>
    </row>
    <row r="313" spans="1:13">
      <c r="M313" s="2"/>
    </row>
    <row r="314" spans="1:13">
      <c r="A314" s="428" t="s">
        <v>342</v>
      </c>
      <c r="B314" s="429" t="s">
        <v>343</v>
      </c>
      <c r="C314" s="429" t="s">
        <v>54</v>
      </c>
      <c r="D314" s="429" t="s">
        <v>55</v>
      </c>
      <c r="F314" s="437" t="s">
        <v>342</v>
      </c>
      <c r="G314" s="438" t="s">
        <v>343</v>
      </c>
      <c r="H314" s="438" t="s">
        <v>54</v>
      </c>
      <c r="I314" s="438" t="s">
        <v>55</v>
      </c>
    </row>
    <row r="315" spans="1:13" ht="24">
      <c r="A315" s="402">
        <v>7311</v>
      </c>
      <c r="B315" s="439" t="s">
        <v>344</v>
      </c>
      <c r="C315" s="440"/>
      <c r="D315" s="440"/>
      <c r="F315" s="413">
        <v>7310</v>
      </c>
      <c r="G315" s="448" t="s">
        <v>344</v>
      </c>
      <c r="H315" s="449"/>
      <c r="I315" s="449"/>
    </row>
    <row r="316" spans="1:13">
      <c r="A316" s="430"/>
      <c r="B316" s="397">
        <v>3000</v>
      </c>
      <c r="C316" s="434">
        <v>2104308.0510100001</v>
      </c>
      <c r="D316" s="434">
        <v>0</v>
      </c>
      <c r="F316" s="430"/>
      <c r="G316" s="397">
        <v>3300</v>
      </c>
      <c r="H316" s="434">
        <v>1199810.9208800001</v>
      </c>
      <c r="I316" s="434">
        <v>0</v>
      </c>
    </row>
    <row r="317" spans="1:13">
      <c r="A317" s="431"/>
      <c r="B317" s="397">
        <v>3050</v>
      </c>
      <c r="C317" s="434">
        <v>2104308.0510100001</v>
      </c>
      <c r="D317" s="434">
        <v>0</v>
      </c>
      <c r="F317" s="431"/>
      <c r="G317" s="397">
        <v>3310</v>
      </c>
      <c r="H317" s="434">
        <v>149971.36878999998</v>
      </c>
      <c r="I317" s="434">
        <v>0</v>
      </c>
      <c r="M317" s="2"/>
    </row>
    <row r="318" spans="1:13">
      <c r="A318" s="430"/>
      <c r="B318" s="397">
        <v>5700</v>
      </c>
      <c r="C318" s="434">
        <v>0</v>
      </c>
      <c r="D318" s="434">
        <v>2104308.0510100001</v>
      </c>
      <c r="F318" s="431"/>
      <c r="G318" s="397">
        <v>3380</v>
      </c>
      <c r="H318" s="434">
        <v>1049839.5520900001</v>
      </c>
      <c r="I318" s="434">
        <v>0</v>
      </c>
    </row>
    <row r="319" spans="1:13">
      <c r="A319" s="431"/>
      <c r="B319" s="397">
        <v>5710</v>
      </c>
      <c r="C319" s="434">
        <v>0</v>
      </c>
      <c r="D319" s="434">
        <v>2104308.0510100001</v>
      </c>
      <c r="F319" s="430"/>
      <c r="G319" s="397">
        <v>5600</v>
      </c>
      <c r="H319" s="434">
        <v>0</v>
      </c>
      <c r="I319" s="434">
        <v>1199810.9208800001</v>
      </c>
      <c r="J319" s="5" t="e">
        <f>#REF!</f>
        <v>#REF!</v>
      </c>
      <c r="K319" s="5" t="e">
        <f>J319+I319</f>
        <v>#REF!</v>
      </c>
    </row>
    <row r="320" spans="1:13">
      <c r="A320" s="398"/>
      <c r="B320" s="439" t="s">
        <v>345</v>
      </c>
      <c r="C320" s="441">
        <v>2104308.0510100001</v>
      </c>
      <c r="D320" s="441">
        <v>2104308.0510100001</v>
      </c>
      <c r="F320" s="431"/>
      <c r="G320" s="397">
        <v>5610</v>
      </c>
      <c r="H320" s="434">
        <v>0</v>
      </c>
      <c r="I320" s="434">
        <v>1199810.9208800001</v>
      </c>
    </row>
    <row r="321" spans="1:13" ht="24">
      <c r="A321" s="398"/>
      <c r="B321" s="439" t="s">
        <v>346</v>
      </c>
      <c r="C321" s="440"/>
      <c r="D321" s="440"/>
      <c r="F321" s="409"/>
      <c r="G321" s="448" t="s">
        <v>345</v>
      </c>
      <c r="H321" s="450">
        <v>1199810.9208800001</v>
      </c>
      <c r="I321" s="450">
        <v>1199810.9208800001</v>
      </c>
    </row>
    <row r="322" spans="1:13" ht="24">
      <c r="C322" s="5" t="e">
        <f>C317+K319-#REF!</f>
        <v>#REF!</v>
      </c>
      <c r="F322" s="409"/>
      <c r="G322" s="448" t="s">
        <v>346</v>
      </c>
      <c r="H322" s="449"/>
      <c r="I322" s="449"/>
    </row>
    <row r="324" spans="1:13">
      <c r="A324" s="428" t="s">
        <v>342</v>
      </c>
      <c r="B324" s="429" t="s">
        <v>343</v>
      </c>
      <c r="C324" s="429" t="s">
        <v>54</v>
      </c>
      <c r="D324" s="429" t="s">
        <v>55</v>
      </c>
      <c r="F324" s="428" t="s">
        <v>342</v>
      </c>
      <c r="G324" s="429" t="s">
        <v>343</v>
      </c>
      <c r="H324" s="429" t="s">
        <v>54</v>
      </c>
      <c r="I324" s="429" t="s">
        <v>55</v>
      </c>
    </row>
    <row r="325" spans="1:13" ht="24">
      <c r="A325" s="408">
        <v>4230</v>
      </c>
      <c r="B325" s="443" t="s">
        <v>344</v>
      </c>
      <c r="C325" s="444">
        <v>0</v>
      </c>
      <c r="D325" s="444">
        <v>669775.06099999999</v>
      </c>
      <c r="F325" s="408">
        <v>3430</v>
      </c>
      <c r="G325" s="443" t="s">
        <v>344</v>
      </c>
      <c r="H325" s="444">
        <v>0</v>
      </c>
      <c r="I325" s="444">
        <v>949329.95246000006</v>
      </c>
    </row>
    <row r="326" spans="1:13" ht="24">
      <c r="A326" s="430"/>
      <c r="B326" s="397">
        <v>2900</v>
      </c>
      <c r="C326" s="434">
        <v>0</v>
      </c>
      <c r="D326" s="446">
        <v>-5374.1859999999997</v>
      </c>
      <c r="F326" s="451">
        <v>3431</v>
      </c>
      <c r="G326" s="452" t="s">
        <v>344</v>
      </c>
      <c r="H326" s="450">
        <v>0</v>
      </c>
      <c r="I326" s="450">
        <v>914104.68246000004</v>
      </c>
    </row>
    <row r="327" spans="1:13">
      <c r="A327" s="431"/>
      <c r="B327" s="397">
        <v>2930</v>
      </c>
      <c r="C327" s="434">
        <v>0</v>
      </c>
      <c r="D327" s="446">
        <v>-5374.1859999999997</v>
      </c>
      <c r="F327" s="431"/>
      <c r="G327" s="397">
        <v>2900</v>
      </c>
      <c r="H327" s="434">
        <v>0</v>
      </c>
      <c r="I327" s="434">
        <v>90038.677549999993</v>
      </c>
    </row>
    <row r="328" spans="1:13">
      <c r="A328" s="432"/>
      <c r="B328" s="397">
        <v>2937</v>
      </c>
      <c r="C328" s="434">
        <v>0</v>
      </c>
      <c r="D328" s="446">
        <v>-5374.1859999999997</v>
      </c>
      <c r="F328" s="432"/>
      <c r="G328" s="397">
        <v>2930</v>
      </c>
      <c r="H328" s="434">
        <v>0</v>
      </c>
      <c r="I328" s="434">
        <v>90038.677549999993</v>
      </c>
      <c r="M328" s="5"/>
    </row>
    <row r="329" spans="1:13">
      <c r="A329" s="430"/>
      <c r="B329" s="397">
        <v>3300</v>
      </c>
      <c r="C329" s="434">
        <v>0</v>
      </c>
      <c r="D329" s="446">
        <v>-4556.6490000000003</v>
      </c>
      <c r="F329" s="433"/>
      <c r="G329" s="397">
        <v>2937</v>
      </c>
      <c r="H329" s="434">
        <v>0</v>
      </c>
      <c r="I329" s="434">
        <v>90038.677549999993</v>
      </c>
      <c r="M329" s="7"/>
    </row>
    <row r="330" spans="1:13">
      <c r="A330" s="431"/>
      <c r="B330" s="397">
        <v>3380</v>
      </c>
      <c r="C330" s="434">
        <v>0</v>
      </c>
      <c r="D330" s="446">
        <v>-4556.6490000000003</v>
      </c>
      <c r="F330" s="431"/>
      <c r="G330" s="397">
        <v>3100</v>
      </c>
      <c r="H330" s="434">
        <v>57271.195950000001</v>
      </c>
      <c r="I330" s="434">
        <v>0</v>
      </c>
    </row>
    <row r="331" spans="1:13">
      <c r="A331" s="430"/>
      <c r="B331" s="397">
        <v>4200</v>
      </c>
      <c r="C331" s="434">
        <v>95178.822</v>
      </c>
      <c r="D331" s="434">
        <v>95178.822</v>
      </c>
      <c r="F331" s="431"/>
      <c r="G331" s="397">
        <v>3200</v>
      </c>
      <c r="H331" s="434">
        <v>21042.716690000001</v>
      </c>
      <c r="I331" s="434">
        <v>0</v>
      </c>
    </row>
    <row r="332" spans="1:13">
      <c r="A332" s="431"/>
      <c r="B332" s="397">
        <v>4230</v>
      </c>
      <c r="C332" s="434">
        <v>95178.822</v>
      </c>
      <c r="D332" s="434">
        <v>95178.822</v>
      </c>
      <c r="F332" s="431"/>
      <c r="G332" s="397">
        <v>3300</v>
      </c>
      <c r="H332" s="434">
        <v>937202.92892999994</v>
      </c>
      <c r="I332" s="434">
        <v>39582.335549999996</v>
      </c>
    </row>
    <row r="333" spans="1:13">
      <c r="A333" s="430"/>
      <c r="B333" s="397">
        <v>7100</v>
      </c>
      <c r="C333" s="434">
        <v>0</v>
      </c>
      <c r="D333" s="446">
        <v>-116.816</v>
      </c>
      <c r="F333" s="432"/>
      <c r="G333" s="397">
        <v>3380</v>
      </c>
      <c r="H333" s="434">
        <v>0</v>
      </c>
      <c r="I333" s="434">
        <v>39582.335549999996</v>
      </c>
    </row>
    <row r="334" spans="1:13">
      <c r="A334" s="430"/>
      <c r="B334" s="397">
        <v>7200</v>
      </c>
      <c r="C334" s="434">
        <v>0</v>
      </c>
      <c r="D334" s="446">
        <v>-7829.1610000000001</v>
      </c>
      <c r="F334" s="431"/>
      <c r="G334" s="397">
        <v>3400</v>
      </c>
      <c r="H334" s="434">
        <v>2928.19794</v>
      </c>
      <c r="I334" s="434">
        <v>2928.19794</v>
      </c>
    </row>
    <row r="335" spans="1:13">
      <c r="A335" s="431"/>
      <c r="B335" s="397">
        <v>7210</v>
      </c>
      <c r="C335" s="434">
        <v>0</v>
      </c>
      <c r="D335" s="446">
        <v>-7829.1610000000001</v>
      </c>
      <c r="F335" s="432"/>
      <c r="G335" s="397">
        <v>3430</v>
      </c>
      <c r="H335" s="434">
        <v>2928.19794</v>
      </c>
      <c r="I335" s="434">
        <v>2928.19794</v>
      </c>
    </row>
    <row r="336" spans="1:13">
      <c r="A336" s="430"/>
      <c r="B336" s="397">
        <v>8100</v>
      </c>
      <c r="C336" s="434">
        <v>0</v>
      </c>
      <c r="D336" s="434">
        <v>44532.5985</v>
      </c>
      <c r="F336" s="431"/>
      <c r="G336" s="397">
        <v>6300</v>
      </c>
      <c r="H336" s="434">
        <v>256.28100000000001</v>
      </c>
      <c r="I336" s="434">
        <v>0</v>
      </c>
    </row>
    <row r="337" spans="1:9">
      <c r="A337" s="431"/>
      <c r="B337" s="397">
        <v>8110</v>
      </c>
      <c r="C337" s="434">
        <v>0</v>
      </c>
      <c r="D337" s="434">
        <v>44532.5985</v>
      </c>
      <c r="F337" s="431"/>
      <c r="G337" s="397">
        <v>7200</v>
      </c>
      <c r="H337" s="434">
        <v>0</v>
      </c>
      <c r="I337" s="434">
        <v>90594.414000000004</v>
      </c>
    </row>
    <row r="338" spans="1:9">
      <c r="A338" s="430"/>
      <c r="B338" s="397">
        <v>8300</v>
      </c>
      <c r="C338" s="434">
        <v>0</v>
      </c>
      <c r="D338" s="434">
        <v>4702.2954</v>
      </c>
      <c r="F338" s="432"/>
      <c r="G338" s="397">
        <v>7210</v>
      </c>
      <c r="H338" s="434">
        <v>0</v>
      </c>
      <c r="I338" s="434">
        <v>90594.414000000004</v>
      </c>
    </row>
    <row r="339" spans="1:9">
      <c r="A339" s="431"/>
      <c r="B339" s="397">
        <v>8310</v>
      </c>
      <c r="C339" s="434">
        <v>0</v>
      </c>
      <c r="D339" s="434">
        <v>4702.2954</v>
      </c>
      <c r="F339" s="431"/>
      <c r="G339" s="397">
        <v>7400</v>
      </c>
      <c r="H339" s="434">
        <v>0</v>
      </c>
      <c r="I339" s="434">
        <v>1374.1469999999999</v>
      </c>
    </row>
    <row r="340" spans="1:9">
      <c r="A340" s="430"/>
      <c r="B340" s="397">
        <v>8400</v>
      </c>
      <c r="C340" s="434">
        <v>0</v>
      </c>
      <c r="D340" s="434">
        <v>5879.7440999999999</v>
      </c>
      <c r="F340" s="431"/>
      <c r="G340" s="397">
        <v>8100</v>
      </c>
      <c r="H340" s="434">
        <v>0</v>
      </c>
      <c r="I340" s="434">
        <v>780551.59059000004</v>
      </c>
    </row>
    <row r="341" spans="1:9">
      <c r="A341" s="431"/>
      <c r="B341" s="397">
        <v>8410</v>
      </c>
      <c r="C341" s="434">
        <v>0</v>
      </c>
      <c r="D341" s="434">
        <v>5879.7440999999999</v>
      </c>
      <c r="F341" s="432"/>
      <c r="G341" s="397">
        <v>8110</v>
      </c>
      <c r="H341" s="434">
        <v>0</v>
      </c>
      <c r="I341" s="434">
        <v>780551.59059000004</v>
      </c>
    </row>
    <row r="342" spans="1:9">
      <c r="A342" s="409"/>
      <c r="B342" s="443" t="s">
        <v>345</v>
      </c>
      <c r="C342" s="444">
        <v>95178.822</v>
      </c>
      <c r="D342" s="444">
        <v>132416.64799999999</v>
      </c>
      <c r="F342" s="431"/>
      <c r="G342" s="397">
        <v>8300</v>
      </c>
      <c r="H342" s="434">
        <v>0</v>
      </c>
      <c r="I342" s="434">
        <v>80228.047120000003</v>
      </c>
    </row>
    <row r="343" spans="1:9" ht="24">
      <c r="A343" s="409"/>
      <c r="B343" s="443" t="s">
        <v>346</v>
      </c>
      <c r="C343" s="444">
        <v>0</v>
      </c>
      <c r="D343" s="444">
        <v>707012.88699999999</v>
      </c>
      <c r="F343" s="432"/>
      <c r="G343" s="397">
        <v>8310</v>
      </c>
      <c r="H343" s="434">
        <v>0</v>
      </c>
      <c r="I343" s="434">
        <v>80228.047120000003</v>
      </c>
    </row>
    <row r="344" spans="1:9">
      <c r="F344" s="431"/>
      <c r="G344" s="397">
        <v>8400</v>
      </c>
      <c r="H344" s="434">
        <v>0</v>
      </c>
      <c r="I344" s="434">
        <v>51211.254000000001</v>
      </c>
    </row>
    <row r="345" spans="1:9">
      <c r="D345" s="5">
        <f>D336+D338+D340+I355+I357+I359+I372+I374+I371+I376+I378</f>
        <v>70317.758999999991</v>
      </c>
      <c r="F345" s="432"/>
      <c r="G345" s="397">
        <v>8410</v>
      </c>
      <c r="H345" s="434">
        <v>0</v>
      </c>
      <c r="I345" s="434">
        <v>51211.254000000001</v>
      </c>
    </row>
    <row r="346" spans="1:9">
      <c r="D346" s="5"/>
      <c r="F346" s="453"/>
      <c r="G346" s="452" t="s">
        <v>345</v>
      </c>
      <c r="H346" s="450">
        <v>1018701.32051</v>
      </c>
      <c r="I346" s="450">
        <v>1136508.6637500001</v>
      </c>
    </row>
    <row r="347" spans="1:9" ht="24">
      <c r="A347" s="428" t="s">
        <v>342</v>
      </c>
      <c r="B347" s="429" t="s">
        <v>343</v>
      </c>
      <c r="C347" s="429" t="s">
        <v>54</v>
      </c>
      <c r="D347" s="429" t="s">
        <v>55</v>
      </c>
      <c r="F347" s="453"/>
      <c r="G347" s="452" t="s">
        <v>346</v>
      </c>
      <c r="H347" s="450">
        <v>0</v>
      </c>
      <c r="I347" s="450">
        <v>1031912.0257</v>
      </c>
    </row>
    <row r="348" spans="1:9" ht="24">
      <c r="A348" s="408">
        <v>2730</v>
      </c>
      <c r="B348" s="443" t="s">
        <v>344</v>
      </c>
      <c r="C348" s="444">
        <v>1632614.1230700002</v>
      </c>
      <c r="D348" s="444">
        <v>0</v>
      </c>
      <c r="E348" s="5">
        <f>C348-D362</f>
        <v>1172440.0837300003</v>
      </c>
      <c r="F348" s="451">
        <v>3432</v>
      </c>
      <c r="G348" s="452" t="s">
        <v>344</v>
      </c>
      <c r="H348" s="450">
        <v>0</v>
      </c>
      <c r="I348" s="450">
        <v>499.42899999999997</v>
      </c>
    </row>
    <row r="349" spans="1:9">
      <c r="A349" s="430"/>
      <c r="B349" s="397">
        <v>2700</v>
      </c>
      <c r="C349" s="434">
        <v>130512.82333</v>
      </c>
      <c r="D349" s="434">
        <v>131764.62959999999</v>
      </c>
      <c r="E349" s="5">
        <f>C352</f>
        <v>79015.857109999997</v>
      </c>
      <c r="F349" s="431"/>
      <c r="G349" s="397">
        <v>3300</v>
      </c>
      <c r="H349" s="434">
        <v>0</v>
      </c>
      <c r="I349" s="446">
        <v>-12.327999999999999</v>
      </c>
    </row>
    <row r="350" spans="1:9">
      <c r="A350" s="431"/>
      <c r="B350" s="397">
        <v>2730</v>
      </c>
      <c r="C350" s="434">
        <v>130512.82333</v>
      </c>
      <c r="D350" s="434">
        <v>130512.82333</v>
      </c>
      <c r="E350" s="5">
        <f>C355</f>
        <v>12696.363859999999</v>
      </c>
      <c r="F350" s="432"/>
      <c r="G350" s="397">
        <v>3380</v>
      </c>
      <c r="H350" s="434">
        <v>0</v>
      </c>
      <c r="I350" s="446">
        <v>-12.327999999999999</v>
      </c>
    </row>
    <row r="351" spans="1:9">
      <c r="A351" s="431"/>
      <c r="B351" s="397">
        <v>2740</v>
      </c>
      <c r="C351" s="434">
        <v>0</v>
      </c>
      <c r="D351" s="434">
        <v>1251.80627</v>
      </c>
      <c r="E351" s="5">
        <f>-D366-D368-D370</f>
        <v>-154172.13068999999</v>
      </c>
      <c r="F351" s="431"/>
      <c r="G351" s="397">
        <v>3400</v>
      </c>
      <c r="H351" s="446">
        <v>-251.697</v>
      </c>
      <c r="I351" s="446">
        <v>-251.697</v>
      </c>
    </row>
    <row r="352" spans="1:9">
      <c r="A352" s="430"/>
      <c r="B352" s="397">
        <v>2900</v>
      </c>
      <c r="C352" s="434">
        <v>79015.857109999997</v>
      </c>
      <c r="D352" s="434">
        <v>0</v>
      </c>
      <c r="E352" s="5">
        <f>SUM(E348:E351)</f>
        <v>1109980.1740100002</v>
      </c>
      <c r="F352" s="432"/>
      <c r="G352" s="397">
        <v>3430</v>
      </c>
      <c r="H352" s="446">
        <v>-251.697</v>
      </c>
      <c r="I352" s="446">
        <v>-251.697</v>
      </c>
    </row>
    <row r="353" spans="1:9">
      <c r="A353" s="431"/>
      <c r="B353" s="397">
        <v>2930</v>
      </c>
      <c r="C353" s="434">
        <v>79015.857109999997</v>
      </c>
      <c r="D353" s="434">
        <v>0</v>
      </c>
      <c r="E353" s="5">
        <f>E348-E352</f>
        <v>62459.909720000112</v>
      </c>
      <c r="F353" s="431"/>
      <c r="G353" s="397">
        <v>7200</v>
      </c>
      <c r="H353" s="434">
        <v>0</v>
      </c>
      <c r="I353" s="446">
        <v>-36.984000000000002</v>
      </c>
    </row>
    <row r="354" spans="1:9">
      <c r="A354" s="432"/>
      <c r="B354" s="397">
        <v>2937</v>
      </c>
      <c r="C354" s="434">
        <v>78711.627110000001</v>
      </c>
      <c r="D354" s="434">
        <v>0</v>
      </c>
      <c r="F354" s="432"/>
      <c r="G354" s="397">
        <v>7210</v>
      </c>
      <c r="H354" s="434">
        <v>0</v>
      </c>
      <c r="I354" s="446">
        <v>-36.984000000000002</v>
      </c>
    </row>
    <row r="355" spans="1:9">
      <c r="A355" s="430"/>
      <c r="B355" s="397">
        <v>3300</v>
      </c>
      <c r="C355" s="434">
        <v>12696.363859999999</v>
      </c>
      <c r="D355" s="434">
        <v>0</v>
      </c>
      <c r="F355" s="431"/>
      <c r="G355" s="397">
        <v>8100</v>
      </c>
      <c r="H355" s="434">
        <v>0</v>
      </c>
      <c r="I355" s="446">
        <v>-75.724000000000004</v>
      </c>
    </row>
    <row r="356" spans="1:9">
      <c r="A356" s="431"/>
      <c r="B356" s="397">
        <v>3310</v>
      </c>
      <c r="C356" s="434">
        <v>12696.363859999999</v>
      </c>
      <c r="D356" s="434">
        <v>0</v>
      </c>
      <c r="E356" s="5">
        <f>C359-D373</f>
        <v>1109884.2802800001</v>
      </c>
      <c r="F356" s="432"/>
      <c r="G356" s="397">
        <v>8110</v>
      </c>
      <c r="H356" s="434">
        <v>0</v>
      </c>
      <c r="I356" s="446">
        <v>-75.724000000000004</v>
      </c>
    </row>
    <row r="357" spans="1:9">
      <c r="A357" s="430"/>
      <c r="B357" s="397">
        <v>7400</v>
      </c>
      <c r="C357" s="434">
        <v>0</v>
      </c>
      <c r="D357" s="434">
        <v>95.893729999999991</v>
      </c>
      <c r="F357" s="431"/>
      <c r="G357" s="397">
        <v>8300</v>
      </c>
      <c r="H357" s="434">
        <v>0</v>
      </c>
      <c r="I357" s="446">
        <v>-74.822330000000008</v>
      </c>
    </row>
    <row r="358" spans="1:9">
      <c r="A358" s="409"/>
      <c r="B358" s="443" t="s">
        <v>345</v>
      </c>
      <c r="C358" s="444">
        <v>222225.04430000001</v>
      </c>
      <c r="D358" s="444">
        <v>131860.52333</v>
      </c>
      <c r="F358" s="432"/>
      <c r="G358" s="397">
        <v>8310</v>
      </c>
      <c r="H358" s="434">
        <v>0</v>
      </c>
      <c r="I358" s="446">
        <v>-74.822330000000008</v>
      </c>
    </row>
    <row r="359" spans="1:9" ht="24">
      <c r="A359" s="409"/>
      <c r="B359" s="443" t="s">
        <v>346</v>
      </c>
      <c r="C359" s="444">
        <v>1722978.6440399999</v>
      </c>
      <c r="D359" s="444">
        <v>0</v>
      </c>
      <c r="F359" s="431"/>
      <c r="G359" s="397">
        <v>8400</v>
      </c>
      <c r="H359" s="434">
        <v>0</v>
      </c>
      <c r="I359" s="446">
        <v>-76.494669999999999</v>
      </c>
    </row>
    <row r="360" spans="1:9">
      <c r="F360" s="432"/>
      <c r="G360" s="397">
        <v>8410</v>
      </c>
      <c r="H360" s="434">
        <v>0</v>
      </c>
      <c r="I360" s="446">
        <v>-76.494669999999999</v>
      </c>
    </row>
    <row r="361" spans="1:9">
      <c r="A361" s="399" t="s">
        <v>342</v>
      </c>
      <c r="B361" s="400" t="s">
        <v>343</v>
      </c>
      <c r="C361" s="400" t="s">
        <v>54</v>
      </c>
      <c r="D361" s="400" t="s">
        <v>55</v>
      </c>
      <c r="F361" s="453"/>
      <c r="G361" s="452" t="s">
        <v>345</v>
      </c>
      <c r="H361" s="454">
        <v>-251.697</v>
      </c>
      <c r="I361" s="454">
        <v>-528.04999999999995</v>
      </c>
    </row>
    <row r="362" spans="1:9" ht="24">
      <c r="A362" s="408">
        <v>2740</v>
      </c>
      <c r="B362" s="412" t="s">
        <v>344</v>
      </c>
      <c r="C362" s="415">
        <v>0</v>
      </c>
      <c r="D362" s="415">
        <v>460174.03933999996</v>
      </c>
      <c r="F362" s="453"/>
      <c r="G362" s="452" t="s">
        <v>346</v>
      </c>
      <c r="H362" s="450">
        <v>0</v>
      </c>
      <c r="I362" s="450">
        <v>223.07599999999999</v>
      </c>
    </row>
    <row r="363" spans="1:9" ht="24">
      <c r="A363" s="403"/>
      <c r="B363" s="397">
        <v>2700</v>
      </c>
      <c r="C363" s="406">
        <v>120693.25821</v>
      </c>
      <c r="D363" s="406">
        <v>119441.45194</v>
      </c>
      <c r="F363" s="451">
        <v>3433</v>
      </c>
      <c r="G363" s="452" t="s">
        <v>344</v>
      </c>
      <c r="H363" s="450">
        <v>0</v>
      </c>
      <c r="I363" s="450">
        <v>34725.841</v>
      </c>
    </row>
    <row r="364" spans="1:9">
      <c r="A364" s="403"/>
      <c r="B364" s="397">
        <v>2730</v>
      </c>
      <c r="C364" s="406">
        <v>1251.80627</v>
      </c>
      <c r="D364" s="406">
        <v>0</v>
      </c>
      <c r="F364" s="431"/>
      <c r="G364" s="397">
        <v>2900</v>
      </c>
      <c r="H364" s="434">
        <v>0</v>
      </c>
      <c r="I364" s="434">
        <v>611.74800000000005</v>
      </c>
    </row>
    <row r="365" spans="1:9">
      <c r="A365" s="403"/>
      <c r="B365" s="397">
        <v>2740</v>
      </c>
      <c r="C365" s="406">
        <v>119441.45194</v>
      </c>
      <c r="D365" s="406">
        <v>119441.45194</v>
      </c>
      <c r="F365" s="432"/>
      <c r="G365" s="397">
        <v>2930</v>
      </c>
      <c r="H365" s="434">
        <v>0</v>
      </c>
      <c r="I365" s="434">
        <v>611.74800000000005</v>
      </c>
    </row>
    <row r="366" spans="1:9">
      <c r="A366" s="403"/>
      <c r="B366" s="397">
        <v>3300</v>
      </c>
      <c r="C366" s="406">
        <v>0</v>
      </c>
      <c r="D366" s="406">
        <v>97602.155610000002</v>
      </c>
      <c r="F366" s="433"/>
      <c r="G366" s="397">
        <v>2937</v>
      </c>
      <c r="H366" s="434">
        <v>0</v>
      </c>
      <c r="I366" s="434">
        <v>611.74800000000005</v>
      </c>
    </row>
    <row r="367" spans="1:9">
      <c r="A367" s="403"/>
      <c r="B367" s="397">
        <v>3380</v>
      </c>
      <c r="C367" s="406">
        <v>0</v>
      </c>
      <c r="D367" s="406">
        <v>97602.155610000002</v>
      </c>
      <c r="E367" s="5"/>
      <c r="F367" s="431"/>
      <c r="G367" s="397">
        <v>3300</v>
      </c>
      <c r="H367" s="434">
        <v>0</v>
      </c>
      <c r="I367" s="434">
        <v>623.56500000000005</v>
      </c>
    </row>
    <row r="368" spans="1:9">
      <c r="A368" s="403"/>
      <c r="B368" s="397">
        <v>7200</v>
      </c>
      <c r="C368" s="406">
        <v>0</v>
      </c>
      <c r="D368" s="406">
        <v>30191.213809999997</v>
      </c>
      <c r="F368" s="432"/>
      <c r="G368" s="397">
        <v>3380</v>
      </c>
      <c r="H368" s="434">
        <v>0</v>
      </c>
      <c r="I368" s="434">
        <v>623.56500000000005</v>
      </c>
    </row>
    <row r="369" spans="1:9">
      <c r="A369" s="403"/>
      <c r="B369" s="397">
        <v>7210</v>
      </c>
      <c r="C369" s="406">
        <v>0</v>
      </c>
      <c r="D369" s="406">
        <v>30191.213809999997</v>
      </c>
      <c r="F369" s="431"/>
      <c r="G369" s="397">
        <v>3400</v>
      </c>
      <c r="H369" s="434">
        <v>16579.134999999998</v>
      </c>
      <c r="I369" s="434">
        <v>16579.134999999998</v>
      </c>
    </row>
    <row r="370" spans="1:9">
      <c r="A370" s="403"/>
      <c r="B370" s="397">
        <v>8400</v>
      </c>
      <c r="C370" s="406">
        <v>0</v>
      </c>
      <c r="D370" s="406">
        <v>26378.761269999999</v>
      </c>
      <c r="F370" s="432"/>
      <c r="G370" s="397">
        <v>3430</v>
      </c>
      <c r="H370" s="434">
        <v>16579.134999999998</v>
      </c>
      <c r="I370" s="434">
        <v>16579.134999999998</v>
      </c>
    </row>
    <row r="371" spans="1:9">
      <c r="A371" s="403"/>
      <c r="B371" s="397">
        <v>8410</v>
      </c>
      <c r="C371" s="406">
        <v>0</v>
      </c>
      <c r="D371" s="406">
        <v>26378.761269999999</v>
      </c>
      <c r="F371" s="431"/>
      <c r="G371" s="397">
        <v>7100</v>
      </c>
      <c r="H371" s="434">
        <v>0</v>
      </c>
      <c r="I371" s="434">
        <v>16.788</v>
      </c>
    </row>
    <row r="372" spans="1:9">
      <c r="A372" s="409"/>
      <c r="B372" s="412" t="s">
        <v>345</v>
      </c>
      <c r="C372" s="415">
        <v>120693.25821</v>
      </c>
      <c r="D372" s="415">
        <v>273613.58263000002</v>
      </c>
      <c r="F372" s="431"/>
      <c r="G372" s="397">
        <v>7200</v>
      </c>
      <c r="H372" s="434">
        <v>0</v>
      </c>
      <c r="I372" s="434">
        <v>1031.2809999999999</v>
      </c>
    </row>
    <row r="373" spans="1:9">
      <c r="A373" s="409"/>
      <c r="B373" s="412" t="s">
        <v>346</v>
      </c>
      <c r="C373" s="415">
        <v>0</v>
      </c>
      <c r="D373" s="415">
        <v>613094.36375999998</v>
      </c>
      <c r="F373" s="432"/>
      <c r="G373" s="397">
        <v>7210</v>
      </c>
      <c r="H373" s="434">
        <v>0</v>
      </c>
      <c r="I373" s="434">
        <v>1031.2809999999999</v>
      </c>
    </row>
    <row r="374" spans="1:9">
      <c r="F374" s="431"/>
      <c r="G374" s="397">
        <v>8100</v>
      </c>
      <c r="H374" s="434">
        <v>0</v>
      </c>
      <c r="I374" s="434">
        <v>11749.8861</v>
      </c>
    </row>
    <row r="375" spans="1:9">
      <c r="A375" s="428" t="s">
        <v>342</v>
      </c>
      <c r="B375" s="429" t="s">
        <v>343</v>
      </c>
      <c r="C375" s="429" t="s">
        <v>54</v>
      </c>
      <c r="D375" s="429" t="s">
        <v>55</v>
      </c>
      <c r="F375" s="432"/>
      <c r="G375" s="397">
        <v>8110</v>
      </c>
      <c r="H375" s="434">
        <v>0</v>
      </c>
      <c r="I375" s="434">
        <v>11749.8861</v>
      </c>
    </row>
    <row r="376" spans="1:9" ht="24">
      <c r="A376" s="413">
        <v>1510</v>
      </c>
      <c r="B376" s="448" t="s">
        <v>344</v>
      </c>
      <c r="C376" s="450">
        <v>39554.77594</v>
      </c>
      <c r="D376" s="450">
        <v>0</v>
      </c>
      <c r="F376" s="431"/>
      <c r="G376" s="397">
        <v>8300</v>
      </c>
      <c r="H376" s="434">
        <v>0</v>
      </c>
      <c r="I376" s="434">
        <v>1532.1680100000001</v>
      </c>
    </row>
    <row r="377" spans="1:9">
      <c r="A377" s="430"/>
      <c r="B377" s="397">
        <v>1300</v>
      </c>
      <c r="C377" s="434">
        <v>0.90488999999999997</v>
      </c>
      <c r="D377" s="434">
        <v>0</v>
      </c>
      <c r="F377" s="432"/>
      <c r="G377" s="397">
        <v>8310</v>
      </c>
      <c r="H377" s="434">
        <v>0</v>
      </c>
      <c r="I377" s="434">
        <v>1532.1680100000001</v>
      </c>
    </row>
    <row r="378" spans="1:9">
      <c r="A378" s="431"/>
      <c r="B378" s="397">
        <v>1310</v>
      </c>
      <c r="C378" s="434">
        <v>0.90488999999999997</v>
      </c>
      <c r="D378" s="434">
        <v>0</v>
      </c>
      <c r="F378" s="431"/>
      <c r="G378" s="397">
        <v>8400</v>
      </c>
      <c r="H378" s="434">
        <v>0</v>
      </c>
      <c r="I378" s="434">
        <v>1100.0388899999998</v>
      </c>
    </row>
    <row r="379" spans="1:9">
      <c r="A379" s="432"/>
      <c r="B379" s="397">
        <v>1313</v>
      </c>
      <c r="C379" s="434">
        <v>0.90488999999999997</v>
      </c>
      <c r="D379" s="434">
        <v>0</v>
      </c>
      <c r="F379" s="432"/>
      <c r="G379" s="397">
        <v>8410</v>
      </c>
      <c r="H379" s="434">
        <v>0</v>
      </c>
      <c r="I379" s="434">
        <v>1100.0388899999998</v>
      </c>
    </row>
    <row r="380" spans="1:9">
      <c r="A380" s="430"/>
      <c r="B380" s="397">
        <v>1500</v>
      </c>
      <c r="C380" s="434">
        <v>672.60716000000002</v>
      </c>
      <c r="D380" s="434">
        <v>672.60716000000002</v>
      </c>
      <c r="F380" s="453"/>
      <c r="G380" s="452" t="s">
        <v>345</v>
      </c>
      <c r="H380" s="450">
        <v>16579.134999999998</v>
      </c>
      <c r="I380" s="450">
        <v>33244.61</v>
      </c>
    </row>
    <row r="381" spans="1:9" ht="24">
      <c r="A381" s="431"/>
      <c r="B381" s="397">
        <v>1510</v>
      </c>
      <c r="C381" s="434">
        <v>672.60716000000002</v>
      </c>
      <c r="D381" s="434">
        <v>672.60716000000002</v>
      </c>
      <c r="F381" s="453"/>
      <c r="G381" s="452" t="s">
        <v>346</v>
      </c>
      <c r="H381" s="450">
        <v>0</v>
      </c>
      <c r="I381" s="450">
        <v>51391.315999999999</v>
      </c>
    </row>
    <row r="382" spans="1:9">
      <c r="A382" s="430"/>
      <c r="B382" s="397">
        <v>2400</v>
      </c>
      <c r="C382" s="434">
        <v>0</v>
      </c>
      <c r="D382" s="434">
        <v>113.66899000000001</v>
      </c>
      <c r="F382" s="409"/>
      <c r="G382" s="443" t="s">
        <v>345</v>
      </c>
      <c r="H382" s="444">
        <v>1035028.75851</v>
      </c>
      <c r="I382" s="444">
        <v>1169225.2237500004</v>
      </c>
    </row>
    <row r="383" spans="1:9" ht="24">
      <c r="A383" s="431"/>
      <c r="B383" s="397">
        <v>2410</v>
      </c>
      <c r="C383" s="434">
        <v>0</v>
      </c>
      <c r="D383" s="434">
        <v>113.66899000000001</v>
      </c>
      <c r="F383" s="409"/>
      <c r="G383" s="443" t="s">
        <v>346</v>
      </c>
      <c r="H383" s="444">
        <v>0</v>
      </c>
      <c r="I383" s="444">
        <v>1083526.4177000001</v>
      </c>
    </row>
    <row r="384" spans="1:9">
      <c r="A384" s="432"/>
      <c r="B384" s="397">
        <v>2414</v>
      </c>
      <c r="C384" s="434">
        <v>0</v>
      </c>
      <c r="D384" s="434">
        <v>113.66899000000001</v>
      </c>
    </row>
    <row r="385" spans="1:8">
      <c r="A385" s="430"/>
      <c r="B385" s="397">
        <v>2900</v>
      </c>
      <c r="C385" s="434">
        <v>84840.051999999996</v>
      </c>
      <c r="D385" s="434">
        <v>0</v>
      </c>
      <c r="E385" s="5">
        <f>C376-D388</f>
        <v>-56135.053829999997</v>
      </c>
    </row>
    <row r="386" spans="1:8">
      <c r="A386" s="431"/>
      <c r="B386" s="397">
        <v>2930</v>
      </c>
      <c r="C386" s="434">
        <v>84840.051999999996</v>
      </c>
      <c r="D386" s="434">
        <v>0</v>
      </c>
      <c r="E386" s="5">
        <f>E385+C386</f>
        <v>28704.998169999999</v>
      </c>
    </row>
    <row r="387" spans="1:8">
      <c r="A387" s="432"/>
      <c r="B387" s="397">
        <v>2932</v>
      </c>
      <c r="C387" s="434">
        <v>84840.051999999996</v>
      </c>
      <c r="D387" s="434">
        <v>0</v>
      </c>
    </row>
    <row r="388" spans="1:8">
      <c r="A388" s="430"/>
      <c r="B388" s="397">
        <v>7400</v>
      </c>
      <c r="C388" s="434">
        <v>0</v>
      </c>
      <c r="D388" s="434">
        <v>95689.829769999997</v>
      </c>
      <c r="E388" s="5">
        <f>C376-D389-C391</f>
        <v>-84727.287899999996</v>
      </c>
    </row>
    <row r="389" spans="1:8">
      <c r="A389" s="431"/>
      <c r="B389" s="397">
        <v>7410</v>
      </c>
      <c r="C389" s="434">
        <v>0</v>
      </c>
      <c r="D389" s="434">
        <v>95689.829769999997</v>
      </c>
    </row>
    <row r="390" spans="1:8">
      <c r="A390" s="409"/>
      <c r="B390" s="448" t="s">
        <v>345</v>
      </c>
      <c r="C390" s="450">
        <v>85513.564050000001</v>
      </c>
      <c r="D390" s="450">
        <v>96476.105920000002</v>
      </c>
    </row>
    <row r="391" spans="1:8" ht="24">
      <c r="A391" s="409"/>
      <c r="B391" s="448" t="s">
        <v>346</v>
      </c>
      <c r="C391" s="450">
        <v>28592.234069999999</v>
      </c>
      <c r="D391" s="450">
        <v>0</v>
      </c>
      <c r="E391" s="5"/>
      <c r="H391">
        <v>1000</v>
      </c>
    </row>
    <row r="393" spans="1:8">
      <c r="B393">
        <v>7100</v>
      </c>
      <c r="C393" s="5">
        <f>D429+I431</f>
        <v>-100.02800000000001</v>
      </c>
    </row>
    <row r="394" spans="1:8">
      <c r="B394">
        <v>7200</v>
      </c>
      <c r="C394" s="5">
        <f>D411+D430+I413+I432</f>
        <v>-6834.8640000000005</v>
      </c>
    </row>
    <row r="395" spans="1:8">
      <c r="B395">
        <v>7010</v>
      </c>
      <c r="C395" s="5">
        <f>D413+D416+D417+D432+D435+D436+I415+I417+I419+I434+I436+I438</f>
        <v>69269.69</v>
      </c>
    </row>
    <row r="396" spans="1:8">
      <c r="C396" s="5"/>
    </row>
    <row r="397" spans="1:8">
      <c r="B397" s="124" t="s">
        <v>2455</v>
      </c>
      <c r="C397" s="269">
        <f>D406+D421</f>
        <v>35225.269999999997</v>
      </c>
      <c r="D397" s="269">
        <f>I408+I423</f>
        <v>669775.06099999999</v>
      </c>
      <c r="E397" s="124" t="s">
        <v>2271</v>
      </c>
    </row>
    <row r="398" spans="1:8">
      <c r="B398">
        <v>3380</v>
      </c>
      <c r="C398" s="5">
        <f>D407+D426</f>
        <v>611.23700000000008</v>
      </c>
      <c r="D398" s="5">
        <f>I409+I428</f>
        <v>-4556.6489999999994</v>
      </c>
      <c r="E398" s="5">
        <f>D398+C398</f>
        <v>-3945.4119999999994</v>
      </c>
    </row>
    <row r="399" spans="1:8">
      <c r="B399">
        <v>2930</v>
      </c>
      <c r="C399" s="5">
        <f>D422</f>
        <v>611.74800000000005</v>
      </c>
      <c r="D399" s="5">
        <f>I425</f>
        <v>-5374.1859999999997</v>
      </c>
      <c r="E399" s="5">
        <f t="shared" ref="E399:E402" si="6">D399+C399</f>
        <v>-4762.4380000000001</v>
      </c>
    </row>
    <row r="400" spans="1:8">
      <c r="B400">
        <v>7110</v>
      </c>
      <c r="C400" s="5">
        <f>D429</f>
        <v>16.788</v>
      </c>
      <c r="D400" s="5">
        <f>I431</f>
        <v>-116.816</v>
      </c>
      <c r="E400" s="5">
        <f t="shared" si="6"/>
        <v>-100.02800000000001</v>
      </c>
    </row>
    <row r="401" spans="1:9">
      <c r="B401">
        <v>7210</v>
      </c>
      <c r="C401" s="5">
        <f>D411+D430</f>
        <v>994.29699999999991</v>
      </c>
      <c r="D401" s="5">
        <f>I414+I432</f>
        <v>-7829.1610000000001</v>
      </c>
      <c r="E401" s="5">
        <f t="shared" si="6"/>
        <v>-6834.8640000000005</v>
      </c>
    </row>
    <row r="402" spans="1:9">
      <c r="B402">
        <v>7010</v>
      </c>
      <c r="C402" s="5">
        <f>D413+D415+D417+D433+D435+D436</f>
        <v>14155.052</v>
      </c>
      <c r="D402" s="5">
        <f>I415+I418+I419+I434+I436+I438</f>
        <v>55114.637999999999</v>
      </c>
      <c r="E402" s="5">
        <f t="shared" si="6"/>
        <v>69269.69</v>
      </c>
    </row>
    <row r="403" spans="1:9">
      <c r="C403" s="5"/>
    </row>
    <row r="404" spans="1:9">
      <c r="C404" s="269">
        <f>D420+D439</f>
        <v>51614.392</v>
      </c>
      <c r="D404" s="269">
        <f>I422+I441</f>
        <v>707012.88699999999</v>
      </c>
    </row>
    <row r="406" spans="1:9" ht="24">
      <c r="A406" s="485">
        <v>3432</v>
      </c>
      <c r="B406" s="448" t="s">
        <v>344</v>
      </c>
      <c r="C406" s="450">
        <v>0</v>
      </c>
      <c r="D406" s="450">
        <v>499.42899999999997</v>
      </c>
      <c r="F406" s="399" t="s">
        <v>342</v>
      </c>
      <c r="G406" s="400" t="s">
        <v>343</v>
      </c>
      <c r="H406" s="400" t="s">
        <v>54</v>
      </c>
      <c r="I406" s="400" t="s">
        <v>55</v>
      </c>
    </row>
    <row r="407" spans="1:9">
      <c r="A407" s="486"/>
      <c r="B407" s="487">
        <v>3300</v>
      </c>
      <c r="C407" s="434">
        <v>0</v>
      </c>
      <c r="D407" s="446">
        <v>-12.327999999999999</v>
      </c>
      <c r="F407" s="408">
        <v>4230</v>
      </c>
      <c r="G407" s="412" t="s">
        <v>344</v>
      </c>
      <c r="H407" s="415">
        <v>0</v>
      </c>
      <c r="I407" s="415">
        <v>669775.06099999999</v>
      </c>
    </row>
    <row r="408" spans="1:9">
      <c r="A408" s="486"/>
      <c r="B408" s="487">
        <v>3380</v>
      </c>
      <c r="C408" s="434">
        <v>0</v>
      </c>
      <c r="D408" s="446">
        <v>-12.327999999999999</v>
      </c>
      <c r="F408" s="413">
        <v>4232</v>
      </c>
      <c r="G408" s="409" t="s">
        <v>344</v>
      </c>
      <c r="H408" s="416">
        <v>0</v>
      </c>
      <c r="I408" s="416">
        <v>17494.056</v>
      </c>
    </row>
    <row r="409" spans="1:9">
      <c r="A409" s="486"/>
      <c r="B409" s="487">
        <v>3400</v>
      </c>
      <c r="C409" s="446">
        <v>-251.697</v>
      </c>
      <c r="D409" s="446">
        <v>-251.697</v>
      </c>
      <c r="F409" s="403"/>
      <c r="G409" s="397">
        <v>3300</v>
      </c>
      <c r="H409" s="406">
        <v>0</v>
      </c>
      <c r="I409" s="489">
        <v>-217.78</v>
      </c>
    </row>
    <row r="410" spans="1:9">
      <c r="A410" s="486"/>
      <c r="B410" s="487">
        <v>3430</v>
      </c>
      <c r="C410" s="446">
        <v>-251.697</v>
      </c>
      <c r="D410" s="446">
        <v>-251.697</v>
      </c>
      <c r="F410" s="403"/>
      <c r="G410" s="397">
        <v>3380</v>
      </c>
      <c r="H410" s="406">
        <v>0</v>
      </c>
      <c r="I410" s="489">
        <v>-217.78</v>
      </c>
    </row>
    <row r="411" spans="1:9">
      <c r="A411" s="486"/>
      <c r="B411" s="487">
        <v>7200</v>
      </c>
      <c r="C411" s="434">
        <v>0</v>
      </c>
      <c r="D411" s="446">
        <v>-36.984000000000002</v>
      </c>
      <c r="F411" s="403"/>
      <c r="G411" s="397">
        <v>4200</v>
      </c>
      <c r="H411" s="489">
        <v>-3015</v>
      </c>
      <c r="I411" s="489">
        <v>-3015</v>
      </c>
    </row>
    <row r="412" spans="1:9">
      <c r="A412" s="486"/>
      <c r="B412" s="487">
        <v>7210</v>
      </c>
      <c r="C412" s="434">
        <v>0</v>
      </c>
      <c r="D412" s="446">
        <v>-36.984000000000002</v>
      </c>
      <c r="F412" s="403"/>
      <c r="G412" s="397">
        <v>4230</v>
      </c>
      <c r="H412" s="489">
        <v>-3015</v>
      </c>
      <c r="I412" s="489">
        <v>-3015</v>
      </c>
    </row>
    <row r="413" spans="1:9">
      <c r="A413" s="486"/>
      <c r="B413" s="487">
        <v>8100</v>
      </c>
      <c r="C413" s="434">
        <v>0</v>
      </c>
      <c r="D413" s="446">
        <v>-75.724000000000004</v>
      </c>
      <c r="F413" s="403"/>
      <c r="G413" s="397">
        <v>7200</v>
      </c>
      <c r="H413" s="406">
        <v>0</v>
      </c>
      <c r="I413" s="489">
        <v>-653.33900000000006</v>
      </c>
    </row>
    <row r="414" spans="1:9">
      <c r="A414" s="486"/>
      <c r="B414" s="487">
        <v>8110</v>
      </c>
      <c r="C414" s="434">
        <v>0</v>
      </c>
      <c r="D414" s="446">
        <v>-75.724000000000004</v>
      </c>
      <c r="F414" s="403"/>
      <c r="G414" s="397">
        <v>7210</v>
      </c>
      <c r="H414" s="406">
        <v>0</v>
      </c>
      <c r="I414" s="489">
        <v>-653.33900000000006</v>
      </c>
    </row>
    <row r="415" spans="1:9">
      <c r="A415" s="486"/>
      <c r="B415" s="487">
        <v>8300</v>
      </c>
      <c r="C415" s="434">
        <v>0</v>
      </c>
      <c r="D415" s="446">
        <v>-74.822330000000008</v>
      </c>
      <c r="F415" s="403"/>
      <c r="G415" s="397">
        <v>8100</v>
      </c>
      <c r="H415" s="406">
        <v>0</v>
      </c>
      <c r="I415" s="489">
        <v>-287.37900000000002</v>
      </c>
    </row>
    <row r="416" spans="1:9">
      <c r="A416" s="486"/>
      <c r="B416" s="487">
        <v>8310</v>
      </c>
      <c r="C416" s="434">
        <v>0</v>
      </c>
      <c r="D416" s="446">
        <v>-74.822330000000008</v>
      </c>
      <c r="F416" s="403"/>
      <c r="G416" s="397">
        <v>8110</v>
      </c>
      <c r="H416" s="406">
        <v>0</v>
      </c>
      <c r="I416" s="489">
        <v>-287.37900000000002</v>
      </c>
    </row>
    <row r="417" spans="1:9">
      <c r="A417" s="486"/>
      <c r="B417" s="487">
        <v>8400</v>
      </c>
      <c r="C417" s="434">
        <v>0</v>
      </c>
      <c r="D417" s="446">
        <v>-76.494669999999999</v>
      </c>
      <c r="F417" s="403"/>
      <c r="G417" s="397">
        <v>8300</v>
      </c>
      <c r="H417" s="406">
        <v>0</v>
      </c>
      <c r="I417" s="489">
        <v>-1333.4346699999999</v>
      </c>
    </row>
    <row r="418" spans="1:9">
      <c r="A418" s="486"/>
      <c r="B418" s="487">
        <v>8410</v>
      </c>
      <c r="C418" s="434">
        <v>0</v>
      </c>
      <c r="D418" s="446">
        <v>-76.494669999999999</v>
      </c>
      <c r="F418" s="403"/>
      <c r="G418" s="397">
        <v>8310</v>
      </c>
      <c r="H418" s="406">
        <v>0</v>
      </c>
      <c r="I418" s="489">
        <v>-1333.4346699999999</v>
      </c>
    </row>
    <row r="419" spans="1:9">
      <c r="A419" s="448"/>
      <c r="B419" s="448" t="s">
        <v>345</v>
      </c>
      <c r="C419" s="454">
        <v>-251.697</v>
      </c>
      <c r="D419" s="454">
        <v>-528.04999999999995</v>
      </c>
      <c r="F419" s="403"/>
      <c r="G419" s="397">
        <v>8400</v>
      </c>
      <c r="H419" s="406">
        <v>0</v>
      </c>
      <c r="I419" s="489">
        <v>-958.62732999999992</v>
      </c>
    </row>
    <row r="420" spans="1:9" ht="24">
      <c r="A420" s="448"/>
      <c r="B420" s="448" t="s">
        <v>346</v>
      </c>
      <c r="C420" s="450">
        <v>0</v>
      </c>
      <c r="D420" s="450">
        <v>223.07599999999999</v>
      </c>
      <c r="F420" s="403"/>
      <c r="G420" s="397">
        <v>8410</v>
      </c>
      <c r="H420" s="406">
        <v>0</v>
      </c>
      <c r="I420" s="489">
        <v>-958.62732999999992</v>
      </c>
    </row>
    <row r="421" spans="1:9" ht="24">
      <c r="A421" s="485">
        <v>3433</v>
      </c>
      <c r="B421" s="448" t="s">
        <v>344</v>
      </c>
      <c r="C421" s="450">
        <v>0</v>
      </c>
      <c r="D421" s="450">
        <v>34725.841</v>
      </c>
      <c r="F421" s="409"/>
      <c r="G421" s="409" t="s">
        <v>345</v>
      </c>
      <c r="H421" s="490">
        <v>-3015</v>
      </c>
      <c r="I421" s="490">
        <v>-6465.56</v>
      </c>
    </row>
    <row r="422" spans="1:9">
      <c r="A422" s="486"/>
      <c r="B422" s="487">
        <v>2900</v>
      </c>
      <c r="C422" s="434">
        <v>0</v>
      </c>
      <c r="D422" s="434">
        <v>611.74800000000005</v>
      </c>
      <c r="F422" s="409"/>
      <c r="G422" s="409" t="s">
        <v>346</v>
      </c>
      <c r="H422" s="416">
        <v>0</v>
      </c>
      <c r="I422" s="416">
        <v>14043.495999999999</v>
      </c>
    </row>
    <row r="423" spans="1:9">
      <c r="A423" s="486"/>
      <c r="B423" s="487">
        <v>2930</v>
      </c>
      <c r="C423" s="434">
        <v>0</v>
      </c>
      <c r="D423" s="434">
        <v>611.74800000000005</v>
      </c>
      <c r="F423" s="413">
        <v>4233</v>
      </c>
      <c r="G423" s="409" t="s">
        <v>344</v>
      </c>
      <c r="H423" s="416">
        <v>0</v>
      </c>
      <c r="I423" s="416">
        <v>652281.005</v>
      </c>
    </row>
    <row r="424" spans="1:9">
      <c r="A424" s="486"/>
      <c r="B424" s="487">
        <v>2937</v>
      </c>
      <c r="C424" s="434">
        <v>0</v>
      </c>
      <c r="D424" s="434">
        <v>611.74800000000005</v>
      </c>
      <c r="F424" s="403"/>
      <c r="G424" s="397">
        <v>2900</v>
      </c>
      <c r="H424" s="406">
        <v>0</v>
      </c>
      <c r="I424" s="489">
        <v>-5374.1859999999997</v>
      </c>
    </row>
    <row r="425" spans="1:9">
      <c r="A425" s="486"/>
      <c r="B425" s="487">
        <v>3300</v>
      </c>
      <c r="C425" s="434">
        <v>0</v>
      </c>
      <c r="D425" s="434">
        <v>623.56500000000005</v>
      </c>
      <c r="F425" s="403"/>
      <c r="G425" s="397">
        <v>2930</v>
      </c>
      <c r="H425" s="406">
        <v>0</v>
      </c>
      <c r="I425" s="489">
        <v>-5374.1859999999997</v>
      </c>
    </row>
    <row r="426" spans="1:9">
      <c r="A426" s="486"/>
      <c r="B426" s="487">
        <v>3380</v>
      </c>
      <c r="C426" s="434">
        <v>0</v>
      </c>
      <c r="D426" s="434">
        <v>623.56500000000005</v>
      </c>
      <c r="F426" s="403"/>
      <c r="G426" s="397">
        <v>2937</v>
      </c>
      <c r="H426" s="406">
        <v>0</v>
      </c>
      <c r="I426" s="489">
        <v>-5374.1859999999997</v>
      </c>
    </row>
    <row r="427" spans="1:9">
      <c r="A427" s="486"/>
      <c r="B427" s="487">
        <v>3400</v>
      </c>
      <c r="C427" s="434">
        <v>16579.134999999998</v>
      </c>
      <c r="D427" s="434">
        <v>16579.134999999998</v>
      </c>
      <c r="F427" s="403"/>
      <c r="G427" s="397">
        <v>3300</v>
      </c>
      <c r="H427" s="406">
        <v>0</v>
      </c>
      <c r="I427" s="489">
        <v>-4338.8689999999997</v>
      </c>
    </row>
    <row r="428" spans="1:9">
      <c r="A428" s="486"/>
      <c r="B428" s="487">
        <v>3430</v>
      </c>
      <c r="C428" s="434">
        <v>16579.134999999998</v>
      </c>
      <c r="D428" s="434">
        <v>16579.134999999998</v>
      </c>
      <c r="F428" s="403"/>
      <c r="G428" s="397">
        <v>3380</v>
      </c>
      <c r="H428" s="406">
        <v>0</v>
      </c>
      <c r="I428" s="489">
        <v>-4338.8689999999997</v>
      </c>
    </row>
    <row r="429" spans="1:9">
      <c r="A429" s="486"/>
      <c r="B429" s="487">
        <v>7100</v>
      </c>
      <c r="C429" s="434">
        <v>0</v>
      </c>
      <c r="D429" s="434">
        <v>16.788</v>
      </c>
      <c r="F429" s="403"/>
      <c r="G429" s="397">
        <v>4200</v>
      </c>
      <c r="H429" s="406">
        <v>98193.822</v>
      </c>
      <c r="I429" s="406">
        <v>98193.822</v>
      </c>
    </row>
    <row r="430" spans="1:9">
      <c r="A430" s="486"/>
      <c r="B430" s="487">
        <v>7200</v>
      </c>
      <c r="C430" s="434">
        <v>0</v>
      </c>
      <c r="D430" s="434">
        <v>1031.2809999999999</v>
      </c>
      <c r="F430" s="403"/>
      <c r="G430" s="397">
        <v>4230</v>
      </c>
      <c r="H430" s="406">
        <v>98193.822</v>
      </c>
      <c r="I430" s="406">
        <v>98193.822</v>
      </c>
    </row>
    <row r="431" spans="1:9">
      <c r="A431" s="486"/>
      <c r="B431" s="487">
        <v>7210</v>
      </c>
      <c r="C431" s="434">
        <v>0</v>
      </c>
      <c r="D431" s="434">
        <v>1031.2809999999999</v>
      </c>
      <c r="F431" s="403"/>
      <c r="G431" s="397">
        <v>7100</v>
      </c>
      <c r="H431" s="406">
        <v>0</v>
      </c>
      <c r="I431" s="489">
        <v>-116.816</v>
      </c>
    </row>
    <row r="432" spans="1:9">
      <c r="A432" s="486"/>
      <c r="B432" s="487">
        <v>8100</v>
      </c>
      <c r="C432" s="434">
        <v>0</v>
      </c>
      <c r="D432" s="434">
        <v>11749.8861</v>
      </c>
      <c r="F432" s="403"/>
      <c r="G432" s="397">
        <v>7200</v>
      </c>
      <c r="H432" s="406">
        <v>0</v>
      </c>
      <c r="I432" s="489">
        <v>-7175.8220000000001</v>
      </c>
    </row>
    <row r="433" spans="1:10">
      <c r="A433" s="486"/>
      <c r="B433" s="487">
        <v>8110</v>
      </c>
      <c r="C433" s="434">
        <v>0</v>
      </c>
      <c r="D433" s="434">
        <v>11749.8861</v>
      </c>
      <c r="F433" s="403"/>
      <c r="G433" s="397">
        <v>7210</v>
      </c>
      <c r="H433" s="406">
        <v>0</v>
      </c>
      <c r="I433" s="489">
        <v>-7175.8220000000001</v>
      </c>
    </row>
    <row r="434" spans="1:10">
      <c r="A434" s="486"/>
      <c r="B434" s="487">
        <v>8300</v>
      </c>
      <c r="C434" s="434">
        <v>0</v>
      </c>
      <c r="D434" s="434">
        <v>1532.1680100000001</v>
      </c>
      <c r="F434" s="403"/>
      <c r="G434" s="397">
        <v>8100</v>
      </c>
      <c r="H434" s="406">
        <v>0</v>
      </c>
      <c r="I434" s="406">
        <v>44819.977500000001</v>
      </c>
    </row>
    <row r="435" spans="1:10">
      <c r="A435" s="486"/>
      <c r="B435" s="487">
        <v>8310</v>
      </c>
      <c r="C435" s="434">
        <v>0</v>
      </c>
      <c r="D435" s="434">
        <v>1532.1680100000001</v>
      </c>
      <c r="F435" s="403"/>
      <c r="G435" s="397">
        <v>8110</v>
      </c>
      <c r="H435" s="406">
        <v>0</v>
      </c>
      <c r="I435" s="406">
        <v>44819.977500000001</v>
      </c>
    </row>
    <row r="436" spans="1:10">
      <c r="A436" s="486"/>
      <c r="B436" s="487">
        <v>8400</v>
      </c>
      <c r="C436" s="434">
        <v>0</v>
      </c>
      <c r="D436" s="434">
        <v>1100.0388899999998</v>
      </c>
      <c r="F436" s="403"/>
      <c r="G436" s="397">
        <v>8300</v>
      </c>
      <c r="H436" s="406">
        <v>0</v>
      </c>
      <c r="I436" s="406">
        <v>6035.7300700000005</v>
      </c>
    </row>
    <row r="437" spans="1:10">
      <c r="A437" s="486"/>
      <c r="B437" s="487">
        <v>8410</v>
      </c>
      <c r="C437" s="434">
        <v>0</v>
      </c>
      <c r="D437" s="434">
        <v>1100.0388899999998</v>
      </c>
      <c r="F437" s="403"/>
      <c r="G437" s="397">
        <v>8310</v>
      </c>
      <c r="H437" s="406">
        <v>0</v>
      </c>
      <c r="I437" s="406">
        <v>6035.7300700000005</v>
      </c>
    </row>
    <row r="438" spans="1:10">
      <c r="A438" s="448"/>
      <c r="B438" s="448" t="s">
        <v>345</v>
      </c>
      <c r="C438" s="450">
        <v>16579.134999999998</v>
      </c>
      <c r="D438" s="450">
        <v>33244.61</v>
      </c>
      <c r="F438" s="403"/>
      <c r="G438" s="397">
        <v>8400</v>
      </c>
      <c r="H438" s="406">
        <v>0</v>
      </c>
      <c r="I438" s="406">
        <v>6838.3714300000001</v>
      </c>
    </row>
    <row r="439" spans="1:10" ht="24">
      <c r="A439" s="448"/>
      <c r="B439" s="448" t="s">
        <v>346</v>
      </c>
      <c r="C439" s="450">
        <v>0</v>
      </c>
      <c r="D439" s="450">
        <v>51391.315999999999</v>
      </c>
      <c r="F439" s="403"/>
      <c r="G439" s="397">
        <v>8410</v>
      </c>
      <c r="H439" s="406">
        <v>0</v>
      </c>
      <c r="I439" s="406">
        <v>6838.3714300000001</v>
      </c>
    </row>
    <row r="440" spans="1:10">
      <c r="A440" s="448"/>
      <c r="B440" s="443" t="s">
        <v>345</v>
      </c>
      <c r="C440" s="444">
        <v>1035028.75851</v>
      </c>
      <c r="D440" s="444">
        <v>1169225.2237500004</v>
      </c>
      <c r="F440" s="409"/>
      <c r="G440" s="409" t="s">
        <v>345</v>
      </c>
      <c r="H440" s="416">
        <v>98193.822</v>
      </c>
      <c r="I440" s="416">
        <v>138882.20800000001</v>
      </c>
    </row>
    <row r="441" spans="1:10" ht="24">
      <c r="A441" s="448"/>
      <c r="B441" s="443" t="s">
        <v>346</v>
      </c>
      <c r="C441" s="444">
        <v>0</v>
      </c>
      <c r="D441" s="444">
        <v>1083526.4177000001</v>
      </c>
      <c r="F441" s="409"/>
      <c r="G441" s="409" t="s">
        <v>346</v>
      </c>
      <c r="H441" s="416">
        <v>0</v>
      </c>
      <c r="I441" s="416">
        <v>692969.39099999995</v>
      </c>
    </row>
    <row r="442" spans="1:10">
      <c r="F442" s="409"/>
      <c r="G442" s="412" t="s">
        <v>345</v>
      </c>
      <c r="H442" s="415">
        <v>95178.822</v>
      </c>
      <c r="I442" s="415">
        <v>132416.64799999999</v>
      </c>
    </row>
    <row r="443" spans="1:10">
      <c r="F443" s="409"/>
      <c r="G443" s="412" t="s">
        <v>346</v>
      </c>
      <c r="H443" s="415">
        <v>0</v>
      </c>
      <c r="I443" s="415">
        <v>707012.88699999999</v>
      </c>
    </row>
    <row r="446" spans="1:10">
      <c r="A446" s="493" t="s">
        <v>396</v>
      </c>
      <c r="B446" s="414"/>
      <c r="C446" s="414"/>
      <c r="D446" s="414"/>
      <c r="E446" s="414"/>
      <c r="F446" s="414"/>
      <c r="G446" s="414"/>
      <c r="H446" s="414"/>
      <c r="I446" s="414"/>
      <c r="J446" s="414"/>
    </row>
    <row r="447" spans="1:10" ht="15.75">
      <c r="A447" s="494" t="s">
        <v>2456</v>
      </c>
      <c r="B447" s="414"/>
      <c r="C447" s="414"/>
      <c r="D447" s="414"/>
      <c r="E447" s="414"/>
      <c r="F447" s="414"/>
      <c r="G447" s="414"/>
      <c r="H447" s="414"/>
      <c r="I447" s="414"/>
      <c r="J447" s="414"/>
    </row>
    <row r="448" spans="1:10">
      <c r="A448" s="414" t="s">
        <v>46</v>
      </c>
      <c r="B448" s="414" t="s">
        <v>47</v>
      </c>
      <c r="C448" s="414"/>
      <c r="D448" s="414"/>
      <c r="E448" s="414"/>
      <c r="F448" s="414"/>
      <c r="G448" s="414"/>
      <c r="H448" s="414"/>
      <c r="I448" s="414"/>
      <c r="J448" s="414"/>
    </row>
    <row r="449" spans="1:10">
      <c r="A449" s="414" t="s">
        <v>48</v>
      </c>
      <c r="B449" s="414" t="s">
        <v>2457</v>
      </c>
      <c r="C449" s="414"/>
      <c r="D449" s="414"/>
      <c r="E449" s="414"/>
      <c r="F449" s="414"/>
      <c r="G449" s="414"/>
      <c r="H449" s="414"/>
      <c r="I449" s="414"/>
      <c r="J449" s="414"/>
    </row>
    <row r="450" spans="1:10">
      <c r="A450" s="497" t="s">
        <v>726</v>
      </c>
      <c r="B450" s="498" t="s">
        <v>727</v>
      </c>
      <c r="C450" s="498" t="s">
        <v>728</v>
      </c>
      <c r="D450" s="499" t="s">
        <v>729</v>
      </c>
      <c r="E450" s="498" t="s">
        <v>54</v>
      </c>
      <c r="F450" s="498"/>
      <c r="G450" s="498"/>
      <c r="H450" s="411" t="s">
        <v>55</v>
      </c>
      <c r="I450" s="411"/>
      <c r="J450" s="411"/>
    </row>
    <row r="451" spans="1:10">
      <c r="A451" s="500"/>
      <c r="B451" s="501"/>
      <c r="C451" s="501"/>
      <c r="D451" s="502"/>
      <c r="E451" s="411" t="s">
        <v>342</v>
      </c>
      <c r="F451" s="491"/>
      <c r="G451" s="491"/>
      <c r="H451" s="491" t="s">
        <v>342</v>
      </c>
      <c r="I451" s="491"/>
      <c r="J451" s="491"/>
    </row>
    <row r="452" spans="1:10">
      <c r="A452" s="403" t="s">
        <v>2458</v>
      </c>
      <c r="B452" s="403" t="s">
        <v>2459</v>
      </c>
      <c r="C452" s="403" t="s">
        <v>2460</v>
      </c>
      <c r="D452" s="403"/>
      <c r="E452" s="492" t="s">
        <v>499</v>
      </c>
      <c r="F452" s="480"/>
      <c r="G452" s="480"/>
      <c r="H452" s="492" t="s">
        <v>2461</v>
      </c>
      <c r="I452" s="495">
        <v>20364342</v>
      </c>
      <c r="J452" s="495"/>
    </row>
    <row r="453" spans="1:10">
      <c r="A453" s="403" t="s">
        <v>2458</v>
      </c>
      <c r="B453" s="403" t="s">
        <v>2459</v>
      </c>
      <c r="C453" s="403" t="s">
        <v>2462</v>
      </c>
      <c r="D453" s="403"/>
      <c r="E453" s="492" t="s">
        <v>499</v>
      </c>
      <c r="F453" s="480"/>
      <c r="G453" s="480"/>
      <c r="H453" s="492" t="s">
        <v>2461</v>
      </c>
      <c r="I453" s="495">
        <v>10850380</v>
      </c>
      <c r="J453" s="495"/>
    </row>
    <row r="454" spans="1:10">
      <c r="A454" s="403" t="s">
        <v>2458</v>
      </c>
      <c r="B454" s="403" t="s">
        <v>2459</v>
      </c>
      <c r="C454" s="403" t="s">
        <v>2463</v>
      </c>
      <c r="D454" s="403"/>
      <c r="E454" s="492" t="s">
        <v>499</v>
      </c>
      <c r="F454" s="480"/>
      <c r="G454" s="480"/>
      <c r="H454" s="492" t="s">
        <v>2461</v>
      </c>
      <c r="I454" s="495">
        <v>29551131</v>
      </c>
      <c r="J454" s="495"/>
    </row>
    <row r="455" spans="1:10">
      <c r="A455" s="409"/>
      <c r="B455" s="409"/>
      <c r="C455" s="409"/>
      <c r="D455" s="409"/>
      <c r="E455" s="488"/>
      <c r="F455" s="488"/>
      <c r="G455" s="488"/>
      <c r="H455" s="496">
        <v>60765853</v>
      </c>
      <c r="I455" s="496"/>
      <c r="J455" s="496"/>
    </row>
    <row r="456" spans="1:10">
      <c r="H456" s="5">
        <f>ROUND(H455/1000,0)+1</f>
        <v>60767</v>
      </c>
    </row>
    <row r="458" spans="1:10">
      <c r="A458" s="399" t="s">
        <v>342</v>
      </c>
      <c r="B458" s="400" t="s">
        <v>343</v>
      </c>
      <c r="C458" s="400" t="s">
        <v>54</v>
      </c>
      <c r="D458" s="400" t="s">
        <v>55</v>
      </c>
    </row>
    <row r="459" spans="1:10">
      <c r="A459" s="413">
        <v>3440</v>
      </c>
      <c r="B459" s="409" t="s">
        <v>344</v>
      </c>
      <c r="C459" s="416">
        <v>0</v>
      </c>
      <c r="D459" s="416">
        <v>635428.61901000002</v>
      </c>
      <c r="E459">
        <v>1000</v>
      </c>
    </row>
    <row r="460" spans="1:10">
      <c r="A460" s="403"/>
      <c r="B460" s="397">
        <v>3100</v>
      </c>
      <c r="C460" s="406">
        <v>98835.36</v>
      </c>
      <c r="D460" s="406">
        <v>0</v>
      </c>
    </row>
    <row r="461" spans="1:10">
      <c r="A461" s="403"/>
      <c r="B461" s="397">
        <v>3190</v>
      </c>
      <c r="C461" s="406">
        <v>98835.36</v>
      </c>
      <c r="D461" s="406">
        <v>0</v>
      </c>
    </row>
    <row r="462" spans="1:10">
      <c r="A462" s="403"/>
      <c r="B462" s="397">
        <v>3300</v>
      </c>
      <c r="C462" s="406">
        <v>200506</v>
      </c>
      <c r="D462" s="406">
        <v>0</v>
      </c>
    </row>
    <row r="463" spans="1:10">
      <c r="A463" s="403"/>
      <c r="B463" s="397">
        <v>3380</v>
      </c>
      <c r="C463" s="406">
        <v>200506</v>
      </c>
      <c r="D463" s="406">
        <v>0</v>
      </c>
    </row>
    <row r="464" spans="1:10">
      <c r="A464" s="403"/>
      <c r="B464" s="397">
        <v>3387</v>
      </c>
      <c r="C464" s="406">
        <v>200506</v>
      </c>
      <c r="D464" s="406">
        <v>0</v>
      </c>
    </row>
    <row r="465" spans="1:4">
      <c r="A465" s="403"/>
      <c r="B465" s="397">
        <v>7200</v>
      </c>
      <c r="C465" s="406">
        <v>0</v>
      </c>
      <c r="D465" s="406">
        <v>303854.995</v>
      </c>
    </row>
    <row r="466" spans="1:4">
      <c r="A466" s="403"/>
      <c r="B466" s="397">
        <v>7210</v>
      </c>
      <c r="C466" s="406">
        <v>0</v>
      </c>
      <c r="D466" s="406">
        <v>303854.995</v>
      </c>
    </row>
    <row r="467" spans="1:4">
      <c r="A467" s="409"/>
      <c r="B467" s="409" t="s">
        <v>345</v>
      </c>
      <c r="C467" s="416">
        <v>299341.36</v>
      </c>
      <c r="D467" s="416">
        <v>303854.995</v>
      </c>
    </row>
    <row r="468" spans="1:4">
      <c r="A468" s="409"/>
      <c r="B468" s="409" t="s">
        <v>346</v>
      </c>
      <c r="C468" s="416">
        <v>0</v>
      </c>
      <c r="D468" s="416">
        <v>639942.25401000003</v>
      </c>
    </row>
    <row r="471" spans="1:4">
      <c r="A471" s="428" t="s">
        <v>342</v>
      </c>
      <c r="B471" s="429" t="s">
        <v>343</v>
      </c>
      <c r="C471" s="429" t="s">
        <v>54</v>
      </c>
      <c r="D471" s="429" t="s">
        <v>55</v>
      </c>
    </row>
    <row r="472" spans="1:4" ht="24">
      <c r="A472" s="413">
        <v>1110</v>
      </c>
      <c r="B472" s="448" t="s">
        <v>344</v>
      </c>
      <c r="C472" s="481">
        <v>31652051439.529999</v>
      </c>
      <c r="D472" s="449"/>
    </row>
    <row r="473" spans="1:4">
      <c r="A473" s="430"/>
      <c r="B473" s="397">
        <v>1000</v>
      </c>
      <c r="C473" s="478">
        <v>7789345982.2599993</v>
      </c>
      <c r="D473" s="478">
        <v>21762082056.900002</v>
      </c>
    </row>
    <row r="474" spans="1:4">
      <c r="A474" s="430"/>
      <c r="B474" s="397">
        <v>3300</v>
      </c>
      <c r="C474" s="479"/>
      <c r="D474" s="478">
        <v>55052125.579999998</v>
      </c>
    </row>
    <row r="475" spans="1:4">
      <c r="A475" s="431"/>
      <c r="B475" s="397">
        <v>3310</v>
      </c>
      <c r="C475" s="479"/>
      <c r="D475" s="478">
        <v>55052125.579999998</v>
      </c>
    </row>
    <row r="476" spans="1:4">
      <c r="A476" s="430"/>
      <c r="B476" s="397">
        <v>6200</v>
      </c>
      <c r="C476" s="478">
        <v>2522805297.1700001</v>
      </c>
      <c r="D476" s="479"/>
    </row>
    <row r="477" spans="1:4">
      <c r="A477" s="431"/>
      <c r="B477" s="397">
        <v>6250</v>
      </c>
      <c r="C477" s="478">
        <v>2522805297.1700001</v>
      </c>
      <c r="D477" s="479"/>
    </row>
    <row r="478" spans="1:4">
      <c r="A478" s="430"/>
      <c r="B478" s="397">
        <v>7400</v>
      </c>
      <c r="C478" s="479"/>
      <c r="D478" s="478">
        <v>1742147550.5599999</v>
      </c>
    </row>
    <row r="479" spans="1:4">
      <c r="A479" s="431"/>
      <c r="B479" s="397">
        <v>7430</v>
      </c>
      <c r="C479" s="479"/>
      <c r="D479" s="478">
        <v>1742147550.5599999</v>
      </c>
    </row>
    <row r="480" spans="1:4">
      <c r="A480" s="409"/>
      <c r="B480" s="448" t="s">
        <v>345</v>
      </c>
      <c r="C480" s="481">
        <v>10312151279.43</v>
      </c>
      <c r="D480" s="481">
        <v>23559281733.040001</v>
      </c>
    </row>
    <row r="481" spans="1:4" ht="24">
      <c r="A481" s="409"/>
      <c r="B481" s="448" t="s">
        <v>346</v>
      </c>
      <c r="C481" s="481">
        <v>18404920985.919998</v>
      </c>
      <c r="D481" s="449"/>
    </row>
    <row r="483" spans="1:4">
      <c r="A483" s="1">
        <v>6290</v>
      </c>
      <c r="B483" s="519" t="s">
        <v>2502</v>
      </c>
      <c r="C483" s="2"/>
      <c r="D483" s="520">
        <v>17246.238000000001</v>
      </c>
    </row>
    <row r="484" spans="1:4">
      <c r="A484" s="1">
        <v>6290</v>
      </c>
      <c r="B484" s="519" t="s">
        <v>2451</v>
      </c>
      <c r="C484" s="2"/>
      <c r="D484" s="520">
        <v>17769546.232999999</v>
      </c>
    </row>
    <row r="487" spans="1:4">
      <c r="A487" s="493" t="s">
        <v>44</v>
      </c>
      <c r="B487" s="414"/>
      <c r="C487" s="414"/>
      <c r="D487" s="414"/>
    </row>
    <row r="488" spans="1:4" ht="15.75">
      <c r="A488" s="494" t="s">
        <v>2503</v>
      </c>
      <c r="B488" s="414"/>
      <c r="C488" s="414"/>
      <c r="D488" s="414"/>
    </row>
    <row r="489" spans="1:4">
      <c r="A489" s="414" t="s">
        <v>46</v>
      </c>
      <c r="B489" s="414" t="s">
        <v>47</v>
      </c>
      <c r="C489" s="414"/>
      <c r="D489" s="414"/>
    </row>
    <row r="490" spans="1:4">
      <c r="A490" s="399" t="s">
        <v>342</v>
      </c>
      <c r="B490" s="400" t="s">
        <v>343</v>
      </c>
      <c r="C490" s="400" t="s">
        <v>54</v>
      </c>
      <c r="D490" s="400" t="s">
        <v>55</v>
      </c>
    </row>
    <row r="491" spans="1:4">
      <c r="A491" s="396">
        <v>1300</v>
      </c>
      <c r="B491" s="401" t="s">
        <v>344</v>
      </c>
      <c r="C491" s="404">
        <v>9380272.0675900001</v>
      </c>
      <c r="D491" s="404">
        <v>0</v>
      </c>
    </row>
    <row r="492" spans="1:4">
      <c r="A492" s="403"/>
      <c r="B492" s="397">
        <v>1200</v>
      </c>
      <c r="C492" s="406">
        <v>29394.741030000001</v>
      </c>
      <c r="D492" s="406">
        <v>8512.0140700000011</v>
      </c>
    </row>
    <row r="493" spans="1:4">
      <c r="A493" s="403"/>
      <c r="B493" s="397">
        <v>1250</v>
      </c>
      <c r="C493" s="406">
        <v>1758.36817</v>
      </c>
      <c r="D493" s="406">
        <v>8032.6648099999993</v>
      </c>
    </row>
    <row r="494" spans="1:4">
      <c r="A494" s="403"/>
      <c r="B494" s="397">
        <v>1270</v>
      </c>
      <c r="C494" s="406">
        <v>27636.372859999999</v>
      </c>
      <c r="D494" s="406">
        <v>479.34926000000002</v>
      </c>
    </row>
    <row r="495" spans="1:4">
      <c r="A495" s="403"/>
      <c r="B495" s="397">
        <v>1300</v>
      </c>
      <c r="C495" s="406">
        <v>74108538.449820012</v>
      </c>
      <c r="D495" s="406">
        <v>74108538.449820012</v>
      </c>
    </row>
    <row r="496" spans="1:4">
      <c r="A496" s="403"/>
      <c r="B496" s="397">
        <v>1310</v>
      </c>
      <c r="C496" s="406">
        <v>30637664.170199998</v>
      </c>
      <c r="D496" s="406">
        <v>30325820.118329998</v>
      </c>
    </row>
    <row r="497" spans="1:4">
      <c r="A497" s="403"/>
      <c r="B497" s="397">
        <v>1315</v>
      </c>
      <c r="C497" s="406">
        <v>1875922.59372</v>
      </c>
      <c r="D497" s="406">
        <v>1793088.95884</v>
      </c>
    </row>
    <row r="498" spans="1:4">
      <c r="A498" s="403"/>
      <c r="B498" s="397">
        <v>1316</v>
      </c>
      <c r="C498" s="406">
        <v>321116.93099999998</v>
      </c>
      <c r="D498" s="406">
        <v>297506.79454000003</v>
      </c>
    </row>
    <row r="499" spans="1:4">
      <c r="A499" s="403"/>
      <c r="B499" s="397">
        <v>1317</v>
      </c>
      <c r="C499" s="406">
        <v>16667386.766249999</v>
      </c>
      <c r="D499" s="406">
        <v>16667386.766249999</v>
      </c>
    </row>
    <row r="500" spans="1:4">
      <c r="A500" s="403"/>
      <c r="B500" s="397">
        <v>1340</v>
      </c>
      <c r="C500" s="406">
        <v>55380.095139999998</v>
      </c>
      <c r="D500" s="406">
        <v>61709.799890000002</v>
      </c>
    </row>
    <row r="501" spans="1:4">
      <c r="A501" s="403"/>
      <c r="B501" s="397">
        <v>1350</v>
      </c>
      <c r="C501" s="406">
        <v>374156.65369000001</v>
      </c>
      <c r="D501" s="406">
        <v>13714146.957429999</v>
      </c>
    </row>
    <row r="502" spans="1:4">
      <c r="A502" s="403"/>
      <c r="B502" s="397">
        <v>1354</v>
      </c>
      <c r="C502" s="406">
        <v>3391.8033300000002</v>
      </c>
      <c r="D502" s="406">
        <v>42427.388880000006</v>
      </c>
    </row>
    <row r="503" spans="1:4">
      <c r="A503" s="403"/>
      <c r="B503" s="397">
        <v>1355</v>
      </c>
      <c r="C503" s="406">
        <v>113.75272</v>
      </c>
      <c r="D503" s="406">
        <v>10455.05012</v>
      </c>
    </row>
    <row r="504" spans="1:4">
      <c r="A504" s="403"/>
      <c r="B504" s="397">
        <v>1360</v>
      </c>
      <c r="C504" s="406">
        <v>0</v>
      </c>
      <c r="D504" s="406">
        <v>189375.00596000001</v>
      </c>
    </row>
    <row r="505" spans="1:4">
      <c r="A505" s="403"/>
      <c r="B505" s="397">
        <v>1500</v>
      </c>
      <c r="C505" s="406">
        <v>0</v>
      </c>
      <c r="D505" s="406">
        <v>0.90488999999999997</v>
      </c>
    </row>
    <row r="506" spans="1:4">
      <c r="A506" s="403"/>
      <c r="B506" s="397">
        <v>2900</v>
      </c>
      <c r="C506" s="406">
        <v>2241.33043</v>
      </c>
      <c r="D506" s="406">
        <v>1374747.9861100002</v>
      </c>
    </row>
    <row r="507" spans="1:4">
      <c r="A507" s="403"/>
      <c r="B507" s="397">
        <v>2930</v>
      </c>
      <c r="C507" s="406">
        <v>2241.33043</v>
      </c>
      <c r="D507" s="406">
        <v>1374747.9861100002</v>
      </c>
    </row>
    <row r="508" spans="1:4">
      <c r="A508" s="403"/>
      <c r="B508" s="397">
        <v>2937</v>
      </c>
      <c r="C508" s="406">
        <v>2241.33043</v>
      </c>
      <c r="D508" s="406">
        <v>1374747.9861100002</v>
      </c>
    </row>
    <row r="509" spans="1:4">
      <c r="A509" s="403"/>
      <c r="B509" s="397">
        <v>3300</v>
      </c>
      <c r="C509" s="406">
        <v>7290711.6197100002</v>
      </c>
      <c r="D509" s="406">
        <v>51248.042430000001</v>
      </c>
    </row>
    <row r="510" spans="1:4">
      <c r="A510" s="403"/>
      <c r="B510" s="397">
        <v>3310</v>
      </c>
      <c r="C510" s="406">
        <v>7248169.9616999999</v>
      </c>
      <c r="D510" s="406">
        <v>1.42859</v>
      </c>
    </row>
    <row r="511" spans="1:4">
      <c r="A511" s="403"/>
      <c r="B511" s="397">
        <v>3380</v>
      </c>
      <c r="C511" s="406">
        <v>42541.658009999999</v>
      </c>
      <c r="D511" s="406">
        <v>51246.613840000005</v>
      </c>
    </row>
    <row r="512" spans="1:4">
      <c r="A512" s="403"/>
      <c r="B512" s="397">
        <v>3387</v>
      </c>
      <c r="C512" s="406">
        <v>12345.372609999999</v>
      </c>
      <c r="D512" s="406">
        <v>0</v>
      </c>
    </row>
    <row r="513" spans="1:4">
      <c r="A513" s="403"/>
      <c r="B513" s="397">
        <v>6200</v>
      </c>
      <c r="C513" s="406">
        <v>1242.95832</v>
      </c>
      <c r="D513" s="406">
        <v>0</v>
      </c>
    </row>
    <row r="514" spans="1:4">
      <c r="A514" s="403"/>
      <c r="B514" s="397">
        <v>7000</v>
      </c>
      <c r="C514" s="406">
        <v>0</v>
      </c>
      <c r="D514" s="406">
        <v>29159753.310040001</v>
      </c>
    </row>
    <row r="515" spans="1:4">
      <c r="A515" s="403"/>
      <c r="B515" s="397">
        <v>7100</v>
      </c>
      <c r="C515" s="406">
        <v>0</v>
      </c>
      <c r="D515" s="406">
        <v>3480.4936200000002</v>
      </c>
    </row>
    <row r="516" spans="1:4">
      <c r="A516" s="403"/>
      <c r="B516" s="397">
        <v>7200</v>
      </c>
      <c r="C516" s="406">
        <v>0</v>
      </c>
      <c r="D516" s="406">
        <v>46778.11421</v>
      </c>
    </row>
    <row r="517" spans="1:4">
      <c r="A517" s="403"/>
      <c r="B517" s="397">
        <v>7210</v>
      </c>
      <c r="C517" s="406">
        <v>0</v>
      </c>
      <c r="D517" s="406">
        <v>46778.11421</v>
      </c>
    </row>
    <row r="518" spans="1:4">
      <c r="A518" s="403"/>
      <c r="B518" s="397">
        <v>7400</v>
      </c>
      <c r="C518" s="406">
        <v>516817.08072000003</v>
      </c>
      <c r="D518" s="406">
        <v>720825.88584</v>
      </c>
    </row>
    <row r="519" spans="1:4">
      <c r="A519" s="403"/>
      <c r="B519" s="397">
        <v>7420</v>
      </c>
      <c r="C519" s="406">
        <v>516220.53337000002</v>
      </c>
      <c r="D519" s="406">
        <v>634397.15204999992</v>
      </c>
    </row>
    <row r="520" spans="1:4">
      <c r="A520" s="403"/>
      <c r="B520" s="397">
        <v>8100</v>
      </c>
      <c r="C520" s="406">
        <v>72058783.231370002</v>
      </c>
      <c r="D520" s="406">
        <v>41885580.148669995</v>
      </c>
    </row>
    <row r="521" spans="1:4">
      <c r="A521" s="403"/>
      <c r="B521" s="397">
        <v>8110</v>
      </c>
      <c r="C521" s="406">
        <v>72058783.231370002</v>
      </c>
      <c r="D521" s="406">
        <v>41885580.148669995</v>
      </c>
    </row>
    <row r="522" spans="1:4">
      <c r="A522" s="403"/>
      <c r="B522" s="397">
        <v>8300</v>
      </c>
      <c r="C522" s="406">
        <v>88145.443780000001</v>
      </c>
      <c r="D522" s="406">
        <v>442438.41243000003</v>
      </c>
    </row>
    <row r="523" spans="1:4">
      <c r="A523" s="403"/>
      <c r="B523" s="397">
        <v>8310</v>
      </c>
      <c r="C523" s="406">
        <v>88145.443780000001</v>
      </c>
      <c r="D523" s="406">
        <v>442438.41243000003</v>
      </c>
    </row>
    <row r="524" spans="1:4">
      <c r="A524" s="403"/>
      <c r="B524" s="397">
        <v>8400</v>
      </c>
      <c r="C524" s="406">
        <v>163.70001999999999</v>
      </c>
      <c r="D524" s="406">
        <v>1105206.4983399999</v>
      </c>
    </row>
    <row r="525" spans="1:4">
      <c r="A525" s="403"/>
      <c r="B525" s="397">
        <v>8410</v>
      </c>
      <c r="C525" s="406">
        <v>163.70001999999999</v>
      </c>
      <c r="D525" s="406">
        <v>1105206.4983399999</v>
      </c>
    </row>
    <row r="526" spans="1:4">
      <c r="A526" s="398"/>
      <c r="B526" s="401" t="s">
        <v>345</v>
      </c>
      <c r="C526" s="404">
        <v>154096038.55520004</v>
      </c>
      <c r="D526" s="404">
        <v>148907110.26047</v>
      </c>
    </row>
    <row r="527" spans="1:4">
      <c r="A527" s="398"/>
      <c r="B527" s="401" t="s">
        <v>346</v>
      </c>
      <c r="C527" s="404">
        <v>14569200.36232</v>
      </c>
      <c r="D527" s="404">
        <v>0</v>
      </c>
    </row>
    <row r="529" spans="1:9">
      <c r="A529" s="420" t="s">
        <v>342</v>
      </c>
      <c r="B529" s="960" t="s">
        <v>343</v>
      </c>
      <c r="C529" s="960" t="s">
        <v>54</v>
      </c>
      <c r="D529" s="960" t="s">
        <v>55</v>
      </c>
      <c r="F529" s="420" t="s">
        <v>342</v>
      </c>
      <c r="G529" s="960" t="s">
        <v>343</v>
      </c>
      <c r="H529" s="960" t="s">
        <v>54</v>
      </c>
      <c r="I529" s="960" t="s">
        <v>55</v>
      </c>
    </row>
    <row r="530" spans="1:9">
      <c r="A530" s="420" t="s">
        <v>700</v>
      </c>
      <c r="B530" s="961"/>
      <c r="C530" s="961"/>
      <c r="D530" s="961"/>
      <c r="F530" s="420" t="s">
        <v>700</v>
      </c>
      <c r="G530" s="961"/>
      <c r="H530" s="961"/>
      <c r="I530" s="961"/>
    </row>
    <row r="531" spans="1:9">
      <c r="A531" s="549" t="s">
        <v>701</v>
      </c>
      <c r="B531" s="549" t="s">
        <v>344</v>
      </c>
      <c r="C531" s="550">
        <v>5001657.77776</v>
      </c>
      <c r="D531" s="550">
        <v>0</v>
      </c>
      <c r="F531" s="549" t="s">
        <v>701</v>
      </c>
      <c r="G531" s="549" t="s">
        <v>344</v>
      </c>
      <c r="H531" s="550">
        <v>15602.262070000001</v>
      </c>
      <c r="I531" s="550">
        <v>0</v>
      </c>
    </row>
    <row r="532" spans="1:9">
      <c r="A532" s="551"/>
      <c r="B532" s="552">
        <v>3300</v>
      </c>
      <c r="C532" s="553">
        <v>0</v>
      </c>
      <c r="D532" s="553">
        <v>55052.12558</v>
      </c>
      <c r="F532" s="551"/>
      <c r="G532" s="552">
        <v>6100</v>
      </c>
      <c r="H532" s="553">
        <v>16154.34728</v>
      </c>
      <c r="I532" s="553">
        <v>0</v>
      </c>
    </row>
    <row r="533" spans="1:9">
      <c r="A533" s="551"/>
      <c r="B533" s="552">
        <v>3310</v>
      </c>
      <c r="C533" s="553">
        <v>0</v>
      </c>
      <c r="D533" s="553">
        <v>55052.12558</v>
      </c>
      <c r="F533" s="551"/>
      <c r="G533" s="552">
        <v>6200</v>
      </c>
      <c r="H533" s="553">
        <v>12964.39518</v>
      </c>
      <c r="I533" s="553">
        <v>0</v>
      </c>
    </row>
    <row r="534" spans="1:9">
      <c r="A534" s="551"/>
      <c r="B534" s="552">
        <v>6200</v>
      </c>
      <c r="C534" s="553">
        <v>2522805.2971700002</v>
      </c>
      <c r="D534" s="553">
        <v>0</v>
      </c>
      <c r="F534" s="551"/>
      <c r="G534" s="552">
        <v>6250</v>
      </c>
      <c r="H534" s="553">
        <v>12964.39518</v>
      </c>
      <c r="I534" s="553">
        <v>0</v>
      </c>
    </row>
    <row r="535" spans="1:9">
      <c r="A535" s="551"/>
      <c r="B535" s="552">
        <v>6250</v>
      </c>
      <c r="C535" s="553">
        <v>2522805.2971700002</v>
      </c>
      <c r="D535" s="553">
        <v>0</v>
      </c>
      <c r="F535" s="551"/>
      <c r="G535" s="552">
        <v>7400</v>
      </c>
      <c r="H535" s="553">
        <v>0</v>
      </c>
      <c r="I535" s="553">
        <v>8911.9585700000007</v>
      </c>
    </row>
    <row r="536" spans="1:9">
      <c r="A536" s="551"/>
      <c r="B536" s="552">
        <v>7400</v>
      </c>
      <c r="C536" s="553">
        <v>0</v>
      </c>
      <c r="D536" s="553">
        <v>1742147.5505599999</v>
      </c>
      <c r="F536" s="551"/>
      <c r="G536" s="552">
        <v>7430</v>
      </c>
      <c r="H536" s="553">
        <v>0</v>
      </c>
      <c r="I536" s="553">
        <v>8911.9585700000007</v>
      </c>
    </row>
    <row r="537" spans="1:9">
      <c r="A537" s="551"/>
      <c r="B537" s="552">
        <v>7430</v>
      </c>
      <c r="C537" s="553">
        <v>0</v>
      </c>
      <c r="D537" s="553">
        <v>1742147.5505599999</v>
      </c>
      <c r="F537" s="549"/>
      <c r="G537" s="549" t="s">
        <v>345</v>
      </c>
      <c r="H537" s="550">
        <v>29118.742460000001</v>
      </c>
      <c r="I537" s="550">
        <v>8911.9585700000007</v>
      </c>
    </row>
    <row r="538" spans="1:9">
      <c r="A538" s="549"/>
      <c r="B538" s="549" t="s">
        <v>345</v>
      </c>
      <c r="C538" s="550">
        <v>2522805.2971700002</v>
      </c>
      <c r="D538" s="550">
        <v>1797199.6761400001</v>
      </c>
      <c r="F538" s="549"/>
      <c r="G538" s="549" t="s">
        <v>346</v>
      </c>
      <c r="H538" s="550">
        <v>35809.045960000003</v>
      </c>
      <c r="I538" s="550">
        <v>0</v>
      </c>
    </row>
    <row r="539" spans="1:9">
      <c r="A539" s="549"/>
      <c r="B539" s="549" t="s">
        <v>346</v>
      </c>
      <c r="C539" s="550">
        <v>5727263.39879</v>
      </c>
      <c r="D539" s="550">
        <v>0</v>
      </c>
      <c r="F539" s="549" t="s">
        <v>703</v>
      </c>
      <c r="G539" s="549" t="s">
        <v>344</v>
      </c>
      <c r="H539" s="550">
        <v>297.27494000000002</v>
      </c>
      <c r="I539" s="550">
        <v>0</v>
      </c>
    </row>
    <row r="540" spans="1:9">
      <c r="A540" s="549" t="s">
        <v>703</v>
      </c>
      <c r="B540" s="549" t="s">
        <v>344</v>
      </c>
      <c r="C540" s="550">
        <v>182066.54694999999</v>
      </c>
      <c r="D540" s="550">
        <v>0</v>
      </c>
      <c r="F540" s="551"/>
      <c r="G540" s="552">
        <v>3100</v>
      </c>
      <c r="H540" s="553">
        <v>98.684190000000001</v>
      </c>
      <c r="I540" s="553">
        <v>0</v>
      </c>
    </row>
    <row r="541" spans="1:9">
      <c r="A541" s="551"/>
      <c r="B541" s="552">
        <v>1000</v>
      </c>
      <c r="C541" s="553">
        <v>0</v>
      </c>
      <c r="D541" s="553">
        <v>1600.21793</v>
      </c>
      <c r="F541" s="551"/>
      <c r="G541" s="552">
        <v>6100</v>
      </c>
      <c r="H541" s="553">
        <v>822.3682</v>
      </c>
      <c r="I541" s="553">
        <v>0</v>
      </c>
    </row>
    <row r="542" spans="1:9">
      <c r="A542" s="549"/>
      <c r="B542" s="549" t="s">
        <v>345</v>
      </c>
      <c r="C542" s="550">
        <v>0</v>
      </c>
      <c r="D542" s="550">
        <v>1600.21793</v>
      </c>
      <c r="F542" s="549"/>
      <c r="G542" s="549" t="s">
        <v>345</v>
      </c>
      <c r="H542" s="550">
        <v>921.05239000000006</v>
      </c>
      <c r="I542" s="550">
        <v>0</v>
      </c>
    </row>
    <row r="543" spans="1:9">
      <c r="A543" s="549"/>
      <c r="B543" s="549" t="s">
        <v>346</v>
      </c>
      <c r="C543" s="550">
        <v>180466.32902</v>
      </c>
      <c r="D543" s="550">
        <v>0</v>
      </c>
      <c r="F543" s="549"/>
      <c r="G543" s="549" t="s">
        <v>346</v>
      </c>
      <c r="H543" s="550">
        <v>1218.3273300000001</v>
      </c>
      <c r="I543" s="550">
        <v>0</v>
      </c>
    </row>
    <row r="545" spans="2:6">
      <c r="B545" s="428" t="s">
        <v>342</v>
      </c>
      <c r="C545" s="429" t="s">
        <v>343</v>
      </c>
      <c r="D545" s="429" t="s">
        <v>54</v>
      </c>
      <c r="E545" s="429" t="s">
        <v>55</v>
      </c>
    </row>
    <row r="546" spans="2:6">
      <c r="B546" s="408">
        <v>1270</v>
      </c>
      <c r="C546" s="443" t="s">
        <v>344</v>
      </c>
      <c r="D546" s="444">
        <v>315495.91219999996</v>
      </c>
      <c r="E546" s="444">
        <v>0</v>
      </c>
      <c r="F546">
        <v>1000</v>
      </c>
    </row>
    <row r="547" spans="2:6">
      <c r="B547" s="430"/>
      <c r="C547" s="397">
        <v>1000</v>
      </c>
      <c r="D547" s="434">
        <v>126161.18027</v>
      </c>
      <c r="E547" s="434">
        <v>84168.286829999997</v>
      </c>
    </row>
    <row r="548" spans="2:6">
      <c r="B548" s="431"/>
      <c r="C548" s="397">
        <v>1010</v>
      </c>
      <c r="D548" s="434">
        <v>19.954999999999998</v>
      </c>
      <c r="E548" s="434">
        <v>8354.7715000000007</v>
      </c>
    </row>
    <row r="549" spans="2:6">
      <c r="B549" s="431"/>
      <c r="C549" s="397">
        <v>1030</v>
      </c>
      <c r="D549" s="434">
        <v>126141.22527</v>
      </c>
      <c r="E549" s="434">
        <v>75813.515329999995</v>
      </c>
    </row>
    <row r="550" spans="2:6">
      <c r="B550" s="430"/>
      <c r="C550" s="397">
        <v>1200</v>
      </c>
      <c r="D550" s="434">
        <v>25452.828809999999</v>
      </c>
      <c r="E550" s="434">
        <v>25476.649450000001</v>
      </c>
    </row>
    <row r="551" spans="2:6">
      <c r="B551" s="431"/>
      <c r="C551" s="397">
        <v>1220</v>
      </c>
      <c r="D551" s="434">
        <v>0</v>
      </c>
      <c r="E551" s="434">
        <v>5.6603199999999996</v>
      </c>
    </row>
    <row r="552" spans="2:6">
      <c r="B552" s="431"/>
      <c r="C552" s="397">
        <v>1260</v>
      </c>
      <c r="D552" s="434">
        <v>0</v>
      </c>
      <c r="E552" s="434">
        <v>33.4</v>
      </c>
    </row>
    <row r="553" spans="2:6">
      <c r="B553" s="431"/>
      <c r="C553" s="397">
        <v>1270</v>
      </c>
      <c r="D553" s="434">
        <v>25452.828809999999</v>
      </c>
      <c r="E553" s="434">
        <v>25452.828809999999</v>
      </c>
    </row>
    <row r="554" spans="2:6">
      <c r="B554" s="432"/>
      <c r="C554" s="397">
        <v>1273</v>
      </c>
      <c r="D554" s="434">
        <v>1100</v>
      </c>
      <c r="E554" s="434">
        <v>1100</v>
      </c>
    </row>
    <row r="555" spans="2:6">
      <c r="B555" s="432"/>
      <c r="C555" s="397">
        <v>1274</v>
      </c>
      <c r="D555" s="434">
        <v>76.248800000000003</v>
      </c>
      <c r="E555" s="434">
        <v>76.248800000000003</v>
      </c>
    </row>
    <row r="556" spans="2:6">
      <c r="B556" s="432"/>
      <c r="C556" s="397">
        <v>1275</v>
      </c>
      <c r="D556" s="434">
        <v>24276.580010000001</v>
      </c>
      <c r="E556" s="434">
        <v>24276.580010000001</v>
      </c>
    </row>
    <row r="557" spans="2:6">
      <c r="B557" s="431"/>
      <c r="C557" s="397">
        <v>1280</v>
      </c>
      <c r="D557" s="434">
        <v>0</v>
      </c>
      <c r="E557" s="446">
        <v>-15.23968</v>
      </c>
    </row>
    <row r="558" spans="2:6">
      <c r="B558" s="432"/>
      <c r="C558" s="397">
        <v>1286</v>
      </c>
      <c r="D558" s="434">
        <v>0</v>
      </c>
      <c r="E558" s="446">
        <v>-15.23968</v>
      </c>
    </row>
    <row r="559" spans="2:6">
      <c r="B559" s="430"/>
      <c r="C559" s="397">
        <v>1300</v>
      </c>
      <c r="D559" s="434">
        <v>479.34926000000002</v>
      </c>
      <c r="E559" s="434">
        <v>27636.372859999999</v>
      </c>
    </row>
    <row r="560" spans="2:6">
      <c r="B560" s="431"/>
      <c r="C560" s="397">
        <v>1310</v>
      </c>
      <c r="D560" s="434">
        <v>479.34926000000002</v>
      </c>
      <c r="E560" s="434">
        <v>120.25</v>
      </c>
    </row>
    <row r="561" spans="2:5">
      <c r="B561" s="432"/>
      <c r="C561" s="397">
        <v>1311</v>
      </c>
      <c r="D561" s="434">
        <v>212.92935</v>
      </c>
      <c r="E561" s="434">
        <v>120.25</v>
      </c>
    </row>
    <row r="562" spans="2:5">
      <c r="B562" s="432"/>
      <c r="C562" s="397">
        <v>1315</v>
      </c>
      <c r="D562" s="434">
        <v>203.25920000000002</v>
      </c>
      <c r="E562" s="434">
        <v>0</v>
      </c>
    </row>
    <row r="563" spans="2:5">
      <c r="B563" s="433"/>
      <c r="C563" s="403" t="s">
        <v>2966</v>
      </c>
      <c r="D563" s="434">
        <v>203.25920000000002</v>
      </c>
      <c r="E563" s="434">
        <v>0</v>
      </c>
    </row>
    <row r="564" spans="2:5">
      <c r="B564" s="432"/>
      <c r="C564" s="397">
        <v>1316</v>
      </c>
      <c r="D564" s="434">
        <v>63.160710000000002</v>
      </c>
      <c r="E564" s="434">
        <v>0</v>
      </c>
    </row>
    <row r="565" spans="2:5">
      <c r="B565" s="433"/>
      <c r="C565" s="403" t="s">
        <v>2967</v>
      </c>
      <c r="D565" s="434">
        <v>63.160710000000002</v>
      </c>
      <c r="E565" s="434">
        <v>0</v>
      </c>
    </row>
    <row r="566" spans="2:5">
      <c r="B566" s="431"/>
      <c r="C566" s="397">
        <v>1320</v>
      </c>
      <c r="D566" s="434">
        <v>0</v>
      </c>
      <c r="E566" s="434">
        <v>27516.122859999999</v>
      </c>
    </row>
    <row r="567" spans="2:5">
      <c r="B567" s="430"/>
      <c r="C567" s="397">
        <v>1700</v>
      </c>
      <c r="D567" s="434">
        <v>1.1345000000000001</v>
      </c>
      <c r="E567" s="434">
        <v>809.42952000000002</v>
      </c>
    </row>
    <row r="568" spans="2:5">
      <c r="B568" s="431"/>
      <c r="C568" s="397">
        <v>1710</v>
      </c>
      <c r="D568" s="434">
        <v>1.1345000000000001</v>
      </c>
      <c r="E568" s="434">
        <v>809.42952000000002</v>
      </c>
    </row>
    <row r="569" spans="2:5">
      <c r="B569" s="432"/>
      <c r="C569" s="397">
        <v>1711</v>
      </c>
      <c r="D569" s="434">
        <v>1.1345000000000001</v>
      </c>
      <c r="E569" s="434">
        <v>809.42952000000002</v>
      </c>
    </row>
    <row r="570" spans="2:5">
      <c r="B570" s="430"/>
      <c r="C570" s="397">
        <v>3100</v>
      </c>
      <c r="D570" s="434">
        <v>32105.992200000001</v>
      </c>
      <c r="E570" s="434">
        <v>0</v>
      </c>
    </row>
    <row r="571" spans="2:5">
      <c r="B571" s="431"/>
      <c r="C571" s="397">
        <v>3130</v>
      </c>
      <c r="D571" s="434">
        <v>32105.992200000001</v>
      </c>
      <c r="E571" s="434">
        <v>0</v>
      </c>
    </row>
    <row r="572" spans="2:5">
      <c r="B572" s="430"/>
      <c r="C572" s="397">
        <v>3300</v>
      </c>
      <c r="D572" s="434">
        <v>9376.7176600000003</v>
      </c>
      <c r="E572" s="434">
        <v>397806.99079000001</v>
      </c>
    </row>
    <row r="573" spans="2:5">
      <c r="B573" s="431"/>
      <c r="C573" s="397">
        <v>3310</v>
      </c>
      <c r="D573" s="434">
        <v>2283.1320000000001</v>
      </c>
      <c r="E573" s="434">
        <v>74261.995280000003</v>
      </c>
    </row>
    <row r="574" spans="2:5">
      <c r="B574" s="432"/>
      <c r="C574" s="397">
        <v>3311</v>
      </c>
      <c r="D574" s="434">
        <v>2283.1320000000001</v>
      </c>
      <c r="E574" s="434">
        <v>67498.751269999993</v>
      </c>
    </row>
    <row r="575" spans="2:5">
      <c r="B575" s="432"/>
      <c r="C575" s="397">
        <v>3312</v>
      </c>
      <c r="D575" s="434">
        <v>0</v>
      </c>
      <c r="E575" s="434">
        <v>6763.2440099999994</v>
      </c>
    </row>
    <row r="576" spans="2:5">
      <c r="B576" s="431"/>
      <c r="C576" s="397">
        <v>3350</v>
      </c>
      <c r="D576" s="434">
        <v>0</v>
      </c>
      <c r="E576" s="434">
        <v>33351.158779999998</v>
      </c>
    </row>
    <row r="577" spans="2:5">
      <c r="B577" s="431"/>
      <c r="C577" s="397">
        <v>3380</v>
      </c>
      <c r="D577" s="434">
        <v>7093.5856599999997</v>
      </c>
      <c r="E577" s="434">
        <v>290193.83673000004</v>
      </c>
    </row>
    <row r="578" spans="2:5">
      <c r="B578" s="432"/>
      <c r="C578" s="397">
        <v>3385</v>
      </c>
      <c r="D578" s="434">
        <v>0</v>
      </c>
      <c r="E578" s="434">
        <v>23.1568</v>
      </c>
    </row>
    <row r="579" spans="2:5">
      <c r="B579" s="432"/>
      <c r="C579" s="397">
        <v>3387</v>
      </c>
      <c r="D579" s="434">
        <v>7093.5856599999997</v>
      </c>
      <c r="E579" s="434">
        <v>290170.67992999998</v>
      </c>
    </row>
    <row r="580" spans="2:5">
      <c r="B580" s="433"/>
      <c r="C580" s="403" t="s">
        <v>2968</v>
      </c>
      <c r="D580" s="434">
        <v>7093.5856599999997</v>
      </c>
      <c r="E580" s="434">
        <v>290170.67992999998</v>
      </c>
    </row>
    <row r="581" spans="2:5">
      <c r="B581" s="430"/>
      <c r="C581" s="397">
        <v>6200</v>
      </c>
      <c r="D581" s="434">
        <v>327212.81855000003</v>
      </c>
      <c r="E581" s="434">
        <v>0</v>
      </c>
    </row>
    <row r="582" spans="2:5">
      <c r="B582" s="431"/>
      <c r="C582" s="397">
        <v>6210</v>
      </c>
      <c r="D582" s="434">
        <v>162317.12328999999</v>
      </c>
      <c r="E582" s="434">
        <v>0</v>
      </c>
    </row>
    <row r="583" spans="2:5">
      <c r="B583" s="431"/>
      <c r="C583" s="397">
        <v>6290</v>
      </c>
      <c r="D583" s="434">
        <v>164895.69525999998</v>
      </c>
      <c r="E583" s="434">
        <v>0</v>
      </c>
    </row>
    <row r="584" spans="2:5">
      <c r="B584" s="430"/>
      <c r="C584" s="397">
        <v>7200</v>
      </c>
      <c r="D584" s="434">
        <v>0</v>
      </c>
      <c r="E584" s="434">
        <v>1</v>
      </c>
    </row>
    <row r="585" spans="2:5">
      <c r="B585" s="431"/>
      <c r="C585" s="397">
        <v>7210</v>
      </c>
      <c r="D585" s="434">
        <v>0</v>
      </c>
      <c r="E585" s="434">
        <v>1</v>
      </c>
    </row>
    <row r="586" spans="2:5">
      <c r="B586" s="432"/>
      <c r="C586" s="397">
        <v>7211</v>
      </c>
      <c r="D586" s="434">
        <v>0</v>
      </c>
      <c r="E586" s="434">
        <v>1</v>
      </c>
    </row>
    <row r="587" spans="2:5">
      <c r="B587" s="430"/>
      <c r="C587" s="397">
        <v>7400</v>
      </c>
      <c r="D587" s="434">
        <v>0</v>
      </c>
      <c r="E587" s="446">
        <v>-2.0000000000000001E-4</v>
      </c>
    </row>
    <row r="588" spans="2:5">
      <c r="B588" s="431"/>
      <c r="C588" s="397">
        <v>7440</v>
      </c>
      <c r="D588" s="434">
        <v>0</v>
      </c>
      <c r="E588" s="446">
        <v>-2.0000000000000001E-4</v>
      </c>
    </row>
    <row r="589" spans="2:5">
      <c r="B589" s="432"/>
      <c r="C589" s="397">
        <v>7441</v>
      </c>
      <c r="D589" s="434">
        <v>0</v>
      </c>
      <c r="E589" s="434">
        <v>2.0000000000000001E-4</v>
      </c>
    </row>
    <row r="590" spans="2:5">
      <c r="B590" s="432"/>
      <c r="C590" s="397">
        <v>7443</v>
      </c>
      <c r="D590" s="434">
        <v>0</v>
      </c>
      <c r="E590" s="446">
        <v>-4.0000000000000002E-4</v>
      </c>
    </row>
    <row r="591" spans="2:5">
      <c r="B591" s="409"/>
      <c r="C591" s="443" t="s">
        <v>345</v>
      </c>
      <c r="D591" s="444">
        <v>520790.02124999999</v>
      </c>
      <c r="E591" s="444">
        <v>535898.72924999997</v>
      </c>
    </row>
    <row r="592" spans="2:5">
      <c r="B592" s="409"/>
      <c r="C592" s="443" t="s">
        <v>346</v>
      </c>
      <c r="D592" s="444">
        <v>300387.20419999998</v>
      </c>
      <c r="E592" s="444">
        <v>0</v>
      </c>
    </row>
  </sheetData>
  <mergeCells count="6">
    <mergeCell ref="I529:I530"/>
    <mergeCell ref="B529:B530"/>
    <mergeCell ref="C529:C530"/>
    <mergeCell ref="D529:D530"/>
    <mergeCell ref="G529:G530"/>
    <mergeCell ref="H529:H5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="80" zoomScaleNormal="80" workbookViewId="0">
      <selection activeCell="I18" sqref="I18"/>
    </sheetView>
  </sheetViews>
  <sheetFormatPr defaultRowHeight="15"/>
  <cols>
    <col min="1" max="1" width="26.5703125" customWidth="1"/>
    <col min="3" max="3" width="16.85546875" customWidth="1"/>
    <col min="4" max="4" width="20.140625" customWidth="1"/>
    <col min="5" max="5" width="15.28515625" customWidth="1"/>
    <col min="6" max="6" width="21.28515625" customWidth="1"/>
    <col min="7" max="7" width="15" customWidth="1"/>
    <col min="8" max="8" width="20.28515625" customWidth="1"/>
  </cols>
  <sheetData>
    <row r="1" spans="1:9">
      <c r="A1" s="84" t="s">
        <v>450</v>
      </c>
      <c r="B1" s="85"/>
      <c r="C1" s="85"/>
      <c r="D1" s="85"/>
      <c r="E1" s="85"/>
      <c r="F1" s="85"/>
      <c r="G1" s="85"/>
    </row>
    <row r="2" spans="1:9" ht="15.75">
      <c r="A2" s="86" t="s">
        <v>451</v>
      </c>
      <c r="B2" s="85"/>
      <c r="C2" s="85"/>
      <c r="D2" s="85"/>
      <c r="E2" s="85"/>
      <c r="F2" s="85"/>
      <c r="G2" s="85"/>
    </row>
    <row r="3" spans="1:9">
      <c r="A3" s="962" t="s">
        <v>50</v>
      </c>
      <c r="B3" s="964" t="s">
        <v>51</v>
      </c>
      <c r="C3" s="964"/>
      <c r="D3" s="964" t="s">
        <v>52</v>
      </c>
      <c r="E3" s="964"/>
      <c r="F3" s="964" t="s">
        <v>53</v>
      </c>
      <c r="G3" s="964"/>
    </row>
    <row r="4" spans="1:9">
      <c r="A4" s="963"/>
      <c r="B4" s="87" t="s">
        <v>54</v>
      </c>
      <c r="C4" s="87" t="s">
        <v>55</v>
      </c>
      <c r="D4" s="87" t="s">
        <v>54</v>
      </c>
      <c r="E4" s="87" t="s">
        <v>55</v>
      </c>
      <c r="F4" s="87" t="s">
        <v>54</v>
      </c>
      <c r="G4" s="87" t="s">
        <v>55</v>
      </c>
      <c r="H4" s="4">
        <v>43465</v>
      </c>
      <c r="I4" s="94" t="s">
        <v>341</v>
      </c>
    </row>
    <row r="5" spans="1:9">
      <c r="A5" s="90" t="s">
        <v>58</v>
      </c>
      <c r="B5" s="91">
        <v>0</v>
      </c>
      <c r="C5" s="91">
        <v>0</v>
      </c>
      <c r="D5" s="91">
        <v>1260.08214</v>
      </c>
      <c r="E5" s="91">
        <v>1246.2</v>
      </c>
      <c r="F5" s="91">
        <v>13.88214</v>
      </c>
      <c r="G5" s="91">
        <v>0</v>
      </c>
      <c r="H5" s="5">
        <f>F5-G5</f>
        <v>13.88214</v>
      </c>
      <c r="I5" s="2" t="s">
        <v>24</v>
      </c>
    </row>
    <row r="6" spans="1:9">
      <c r="A6" s="90" t="s">
        <v>62</v>
      </c>
      <c r="B6" s="91">
        <v>0</v>
      </c>
      <c r="C6" s="91">
        <v>0</v>
      </c>
      <c r="D6" s="91">
        <v>1356618.6594499999</v>
      </c>
      <c r="E6" s="91">
        <v>1279430.2450700002</v>
      </c>
      <c r="F6" s="91">
        <v>77188.414380000002</v>
      </c>
      <c r="G6" s="91">
        <v>0</v>
      </c>
      <c r="H6" s="5">
        <f t="shared" ref="H6:H36" si="0">F6-G6</f>
        <v>77188.414380000002</v>
      </c>
      <c r="I6" s="2" t="s">
        <v>24</v>
      </c>
    </row>
    <row r="7" spans="1:9">
      <c r="A7" s="90" t="s">
        <v>68</v>
      </c>
      <c r="B7" s="91">
        <v>0</v>
      </c>
      <c r="C7" s="91">
        <v>0</v>
      </c>
      <c r="D7" s="91">
        <v>1235828.86246</v>
      </c>
      <c r="E7" s="91">
        <v>1235828.86246</v>
      </c>
      <c r="F7" s="91">
        <v>0</v>
      </c>
      <c r="G7" s="91">
        <v>0</v>
      </c>
      <c r="H7" s="5">
        <f t="shared" si="0"/>
        <v>0</v>
      </c>
      <c r="I7" s="2" t="s">
        <v>19</v>
      </c>
    </row>
    <row r="8" spans="1:9">
      <c r="A8" s="90" t="s">
        <v>69</v>
      </c>
      <c r="B8" s="91">
        <v>0</v>
      </c>
      <c r="C8" s="91">
        <v>0</v>
      </c>
      <c r="D8" s="91">
        <v>918315.49615000002</v>
      </c>
      <c r="E8" s="91">
        <v>553031.29515999998</v>
      </c>
      <c r="F8" s="91">
        <v>365284.20098999998</v>
      </c>
      <c r="G8" s="91">
        <v>0</v>
      </c>
      <c r="H8" s="5">
        <f t="shared" si="0"/>
        <v>365284.20098999998</v>
      </c>
      <c r="I8" s="2" t="s">
        <v>19</v>
      </c>
    </row>
    <row r="9" spans="1:9">
      <c r="A9" s="90" t="s">
        <v>72</v>
      </c>
      <c r="B9" s="91">
        <v>0</v>
      </c>
      <c r="C9" s="91">
        <v>0</v>
      </c>
      <c r="D9" s="91">
        <v>39373.426479999995</v>
      </c>
      <c r="E9" s="91">
        <v>38330.637409999996</v>
      </c>
      <c r="F9" s="91">
        <v>1042.78907</v>
      </c>
      <c r="G9" s="91">
        <v>0</v>
      </c>
      <c r="H9" s="5">
        <f t="shared" si="0"/>
        <v>1042.78907</v>
      </c>
      <c r="I9" s="2" t="s">
        <v>19</v>
      </c>
    </row>
    <row r="10" spans="1:9">
      <c r="A10" s="90" t="s">
        <v>85</v>
      </c>
      <c r="B10" s="91">
        <v>0</v>
      </c>
      <c r="C10" s="91">
        <v>0</v>
      </c>
      <c r="D10" s="91">
        <v>1460729.25838</v>
      </c>
      <c r="E10" s="91">
        <v>1284992.4132600001</v>
      </c>
      <c r="F10" s="91">
        <v>175736.84512000001</v>
      </c>
      <c r="G10" s="91">
        <v>0</v>
      </c>
      <c r="H10" s="5">
        <f t="shared" si="0"/>
        <v>175736.84512000001</v>
      </c>
      <c r="I10" s="2" t="s">
        <v>16</v>
      </c>
    </row>
    <row r="11" spans="1:9">
      <c r="A11" s="90" t="s">
        <v>100</v>
      </c>
      <c r="B11" s="91">
        <v>0</v>
      </c>
      <c r="C11" s="91">
        <v>0</v>
      </c>
      <c r="D11" s="91">
        <v>1723.2306899999999</v>
      </c>
      <c r="E11" s="91">
        <v>1011.9964100000001</v>
      </c>
      <c r="F11" s="91">
        <v>711.23428000000001</v>
      </c>
      <c r="G11" s="91">
        <v>0</v>
      </c>
      <c r="H11" s="5">
        <f t="shared" si="0"/>
        <v>711.23428000000001</v>
      </c>
      <c r="I11" s="2" t="s">
        <v>16</v>
      </c>
    </row>
    <row r="12" spans="1:9">
      <c r="A12" s="90" t="s">
        <v>102</v>
      </c>
      <c r="B12" s="91">
        <v>0</v>
      </c>
      <c r="C12" s="91">
        <v>0</v>
      </c>
      <c r="D12" s="91">
        <v>64.608279999999993</v>
      </c>
      <c r="E12" s="91">
        <v>64.608279999999993</v>
      </c>
      <c r="F12" s="91">
        <v>0</v>
      </c>
      <c r="G12" s="91">
        <v>0</v>
      </c>
      <c r="H12" s="5">
        <f t="shared" si="0"/>
        <v>0</v>
      </c>
      <c r="I12" s="2" t="s">
        <v>16</v>
      </c>
    </row>
    <row r="13" spans="1:9">
      <c r="A13" s="90" t="s">
        <v>411</v>
      </c>
      <c r="B13" s="91">
        <v>0</v>
      </c>
      <c r="C13" s="91">
        <v>0</v>
      </c>
      <c r="D13" s="91">
        <v>90504.928540000008</v>
      </c>
      <c r="E13" s="91">
        <v>90504.928540000008</v>
      </c>
      <c r="F13" s="91">
        <v>0</v>
      </c>
      <c r="G13" s="91">
        <v>0</v>
      </c>
      <c r="H13" s="5">
        <f t="shared" si="0"/>
        <v>0</v>
      </c>
    </row>
    <row r="14" spans="1:9">
      <c r="A14" s="90" t="s">
        <v>125</v>
      </c>
      <c r="B14" s="91">
        <v>0</v>
      </c>
      <c r="C14" s="91">
        <v>0</v>
      </c>
      <c r="D14" s="91">
        <v>234077.54968999999</v>
      </c>
      <c r="E14" s="91">
        <v>224182.48031000001</v>
      </c>
      <c r="F14" s="91">
        <v>9895.0693800000008</v>
      </c>
      <c r="G14" s="91">
        <v>0</v>
      </c>
      <c r="H14" s="5">
        <f t="shared" si="0"/>
        <v>9895.0693800000008</v>
      </c>
      <c r="I14" s="2" t="s">
        <v>12</v>
      </c>
    </row>
    <row r="15" spans="1:9">
      <c r="A15" s="90" t="s">
        <v>146</v>
      </c>
      <c r="B15" s="91">
        <v>0</v>
      </c>
      <c r="C15" s="91">
        <v>0</v>
      </c>
      <c r="D15" s="91">
        <v>5856.6906200000003</v>
      </c>
      <c r="E15" s="91">
        <v>0</v>
      </c>
      <c r="F15" s="91">
        <v>5856.6906200000003</v>
      </c>
      <c r="G15" s="91">
        <v>0</v>
      </c>
      <c r="H15" s="5">
        <f t="shared" si="0"/>
        <v>5856.6906200000003</v>
      </c>
      <c r="I15" s="2" t="s">
        <v>7</v>
      </c>
    </row>
    <row r="16" spans="1:9">
      <c r="A16" s="90" t="s">
        <v>452</v>
      </c>
      <c r="B16" s="91">
        <v>0</v>
      </c>
      <c r="C16" s="91">
        <v>0</v>
      </c>
      <c r="D16" s="91">
        <v>94</v>
      </c>
      <c r="E16" s="91">
        <v>0</v>
      </c>
      <c r="F16" s="91">
        <v>94</v>
      </c>
      <c r="G16" s="91">
        <v>0</v>
      </c>
      <c r="H16" s="5">
        <f t="shared" si="0"/>
        <v>94</v>
      </c>
      <c r="I16" s="2" t="s">
        <v>7</v>
      </c>
    </row>
    <row r="17" spans="1:9">
      <c r="A17" s="90" t="s">
        <v>164</v>
      </c>
      <c r="B17" s="91">
        <v>0</v>
      </c>
      <c r="C17" s="91">
        <v>0</v>
      </c>
      <c r="D17" s="91">
        <v>3084.0417200000002</v>
      </c>
      <c r="E17" s="91">
        <v>0</v>
      </c>
      <c r="F17" s="91">
        <v>3084.0417200000002</v>
      </c>
      <c r="G17" s="91">
        <v>0</v>
      </c>
      <c r="H17" s="5">
        <f t="shared" si="0"/>
        <v>3084.0417200000002</v>
      </c>
      <c r="I17" s="2" t="s">
        <v>9</v>
      </c>
    </row>
    <row r="18" spans="1:9">
      <c r="A18" s="90" t="s">
        <v>204</v>
      </c>
      <c r="B18" s="91">
        <v>0</v>
      </c>
      <c r="C18" s="91">
        <v>0</v>
      </c>
      <c r="D18" s="91">
        <v>31680.180640000002</v>
      </c>
      <c r="E18" s="91">
        <v>39525.085060000005</v>
      </c>
      <c r="F18" s="91">
        <v>0</v>
      </c>
      <c r="G18" s="91">
        <v>7844.9044199999998</v>
      </c>
      <c r="H18" s="5">
        <f t="shared" si="0"/>
        <v>-7844.9044199999998</v>
      </c>
      <c r="I18" t="s">
        <v>38</v>
      </c>
    </row>
    <row r="19" spans="1:9">
      <c r="A19" s="90" t="s">
        <v>205</v>
      </c>
      <c r="B19" s="91">
        <v>0</v>
      </c>
      <c r="C19" s="91">
        <v>0</v>
      </c>
      <c r="D19" s="91">
        <v>163052.57689</v>
      </c>
      <c r="E19" s="91">
        <v>184068.33116</v>
      </c>
      <c r="F19" s="91">
        <v>0</v>
      </c>
      <c r="G19" s="91">
        <v>21015.754270000001</v>
      </c>
      <c r="H19" s="5">
        <f t="shared" si="0"/>
        <v>-21015.754270000001</v>
      </c>
      <c r="I19" t="s">
        <v>38</v>
      </c>
    </row>
    <row r="20" spans="1:9">
      <c r="A20" s="90" t="s">
        <v>207</v>
      </c>
      <c r="B20" s="91">
        <v>0</v>
      </c>
      <c r="C20" s="91">
        <v>0</v>
      </c>
      <c r="D20" s="91">
        <v>25744.041670000002</v>
      </c>
      <c r="E20" s="91">
        <v>31816.986209999999</v>
      </c>
      <c r="F20" s="91">
        <v>0</v>
      </c>
      <c r="G20" s="91">
        <v>6072.9445400000004</v>
      </c>
      <c r="H20" s="5">
        <f t="shared" si="0"/>
        <v>-6072.9445400000004</v>
      </c>
      <c r="I20" t="s">
        <v>38</v>
      </c>
    </row>
    <row r="21" spans="1:9">
      <c r="A21" s="90" t="s">
        <v>211</v>
      </c>
      <c r="B21" s="91">
        <v>0</v>
      </c>
      <c r="C21" s="91">
        <v>0</v>
      </c>
      <c r="D21" s="91">
        <v>1043</v>
      </c>
      <c r="E21" s="91">
        <v>1041.2470000000001</v>
      </c>
      <c r="F21" s="91">
        <v>0</v>
      </c>
      <c r="G21" s="92">
        <v>-1.7529999999999999</v>
      </c>
      <c r="H21" s="5">
        <f t="shared" si="0"/>
        <v>1.7529999999999999</v>
      </c>
      <c r="I21" t="s">
        <v>38</v>
      </c>
    </row>
    <row r="22" spans="1:9">
      <c r="A22" s="90" t="s">
        <v>453</v>
      </c>
      <c r="B22" s="91">
        <v>0</v>
      </c>
      <c r="C22" s="91">
        <v>0</v>
      </c>
      <c r="D22" s="91">
        <v>12738.207</v>
      </c>
      <c r="E22" s="91">
        <v>15562.406000000001</v>
      </c>
      <c r="F22" s="91">
        <v>0</v>
      </c>
      <c r="G22" s="91">
        <v>2824.1990000000001</v>
      </c>
      <c r="H22" s="5">
        <f t="shared" si="0"/>
        <v>-2824.1990000000001</v>
      </c>
      <c r="I22" t="s">
        <v>38</v>
      </c>
    </row>
    <row r="23" spans="1:9">
      <c r="A23" s="90" t="s">
        <v>423</v>
      </c>
      <c r="B23" s="91">
        <v>0</v>
      </c>
      <c r="C23" s="91">
        <v>0</v>
      </c>
      <c r="D23" s="91">
        <v>6130.0839999999998</v>
      </c>
      <c r="E23" s="91">
        <v>7510.6379999999999</v>
      </c>
      <c r="F23" s="91">
        <v>0</v>
      </c>
      <c r="G23" s="91">
        <v>1380.5540000000001</v>
      </c>
      <c r="H23" s="5">
        <f t="shared" si="0"/>
        <v>-1380.5540000000001</v>
      </c>
      <c r="I23" t="s">
        <v>38</v>
      </c>
    </row>
    <row r="24" spans="1:9">
      <c r="A24" s="90" t="s">
        <v>216</v>
      </c>
      <c r="B24" s="91">
        <v>0</v>
      </c>
      <c r="C24" s="91">
        <v>0</v>
      </c>
      <c r="D24" s="91">
        <v>41880.682439999997</v>
      </c>
      <c r="E24" s="91">
        <v>51772.517679999997</v>
      </c>
      <c r="F24" s="91">
        <v>0</v>
      </c>
      <c r="G24" s="91">
        <v>9891.8352400000003</v>
      </c>
      <c r="H24" s="5">
        <f t="shared" si="0"/>
        <v>-9891.8352400000003</v>
      </c>
      <c r="I24" t="s">
        <v>38</v>
      </c>
    </row>
    <row r="25" spans="1:9">
      <c r="A25" s="90" t="s">
        <v>454</v>
      </c>
      <c r="B25" s="91">
        <v>0</v>
      </c>
      <c r="C25" s="91">
        <v>0</v>
      </c>
      <c r="D25" s="91">
        <v>13.60632</v>
      </c>
      <c r="E25" s="91">
        <v>13.60632</v>
      </c>
      <c r="F25" s="91">
        <v>0</v>
      </c>
      <c r="G25" s="91">
        <v>0</v>
      </c>
      <c r="H25" s="5">
        <f t="shared" si="0"/>
        <v>0</v>
      </c>
      <c r="I25" t="s">
        <v>38</v>
      </c>
    </row>
    <row r="26" spans="1:9">
      <c r="A26" s="90" t="s">
        <v>222</v>
      </c>
      <c r="B26" s="91">
        <v>0</v>
      </c>
      <c r="C26" s="91">
        <v>0</v>
      </c>
      <c r="D26" s="91">
        <v>770834.16979999992</v>
      </c>
      <c r="E26" s="91">
        <v>1007082.94732</v>
      </c>
      <c r="F26" s="91">
        <v>0</v>
      </c>
      <c r="G26" s="91">
        <v>236248.77752</v>
      </c>
      <c r="H26" s="5">
        <f t="shared" si="0"/>
        <v>-236248.77752</v>
      </c>
      <c r="I26" t="s">
        <v>38</v>
      </c>
    </row>
    <row r="27" spans="1:9">
      <c r="A27" s="90" t="s">
        <v>225</v>
      </c>
      <c r="B27" s="91">
        <v>0</v>
      </c>
      <c r="C27" s="91">
        <v>0</v>
      </c>
      <c r="D27" s="91">
        <v>0</v>
      </c>
      <c r="E27" s="91">
        <v>165284.47052999999</v>
      </c>
      <c r="F27" s="91">
        <v>0</v>
      </c>
      <c r="G27" s="91">
        <v>165284.47052999999</v>
      </c>
      <c r="H27" s="5">
        <f t="shared" si="0"/>
        <v>-165284.47052999999</v>
      </c>
      <c r="I27" t="s">
        <v>38</v>
      </c>
    </row>
    <row r="28" spans="1:9">
      <c r="A28" s="90" t="s">
        <v>226</v>
      </c>
      <c r="B28" s="91">
        <v>0</v>
      </c>
      <c r="C28" s="91">
        <v>0</v>
      </c>
      <c r="D28" s="91">
        <v>477541.9179</v>
      </c>
      <c r="E28" s="91">
        <v>555680.87487000006</v>
      </c>
      <c r="F28" s="91">
        <v>0</v>
      </c>
      <c r="G28" s="91">
        <v>78138.956969999999</v>
      </c>
      <c r="H28" s="5">
        <f t="shared" si="0"/>
        <v>-78138.956969999999</v>
      </c>
      <c r="I28" t="s">
        <v>38</v>
      </c>
    </row>
    <row r="29" spans="1:9">
      <c r="A29" s="90" t="s">
        <v>229</v>
      </c>
      <c r="B29" s="91">
        <v>0</v>
      </c>
      <c r="C29" s="91">
        <v>0</v>
      </c>
      <c r="D29" s="91">
        <v>0</v>
      </c>
      <c r="E29" s="91">
        <v>31.057220000000001</v>
      </c>
      <c r="F29" s="91">
        <v>0</v>
      </c>
      <c r="G29" s="91">
        <v>31.057220000000001</v>
      </c>
      <c r="H29" s="5">
        <f t="shared" si="0"/>
        <v>-31.057220000000001</v>
      </c>
      <c r="I29" t="s">
        <v>38</v>
      </c>
    </row>
    <row r="30" spans="1:9">
      <c r="A30" s="90" t="s">
        <v>230</v>
      </c>
      <c r="B30" s="91">
        <v>0</v>
      </c>
      <c r="C30" s="91">
        <v>0</v>
      </c>
      <c r="D30" s="91">
        <v>7562.6987600000002</v>
      </c>
      <c r="E30" s="91">
        <v>9133.7845399999987</v>
      </c>
      <c r="F30" s="91">
        <v>0</v>
      </c>
      <c r="G30" s="91">
        <v>1571.0857800000001</v>
      </c>
      <c r="H30" s="5">
        <f t="shared" si="0"/>
        <v>-1571.0857800000001</v>
      </c>
      <c r="I30" t="s">
        <v>38</v>
      </c>
    </row>
    <row r="31" spans="1:9">
      <c r="A31" s="90" t="s">
        <v>232</v>
      </c>
      <c r="B31" s="91">
        <v>0</v>
      </c>
      <c r="C31" s="91">
        <v>0</v>
      </c>
      <c r="D31" s="91">
        <v>82</v>
      </c>
      <c r="E31" s="91">
        <v>82</v>
      </c>
      <c r="F31" s="91">
        <v>0</v>
      </c>
      <c r="G31" s="91">
        <v>0</v>
      </c>
      <c r="H31" s="5">
        <f t="shared" si="0"/>
        <v>0</v>
      </c>
      <c r="I31" t="s">
        <v>38</v>
      </c>
    </row>
    <row r="32" spans="1:9">
      <c r="A32" s="90" t="s">
        <v>455</v>
      </c>
      <c r="B32" s="91">
        <v>0</v>
      </c>
      <c r="C32" s="91">
        <v>0</v>
      </c>
      <c r="D32" s="91">
        <v>0</v>
      </c>
      <c r="E32" s="91">
        <v>63580.496249999997</v>
      </c>
      <c r="F32" s="91">
        <v>0</v>
      </c>
      <c r="G32" s="91">
        <v>63580.496249999997</v>
      </c>
      <c r="H32" s="5">
        <f t="shared" si="0"/>
        <v>-63580.496249999997</v>
      </c>
      <c r="I32" t="s">
        <v>38</v>
      </c>
    </row>
    <row r="33" spans="1:9">
      <c r="A33" s="90" t="s">
        <v>244</v>
      </c>
      <c r="B33" s="91">
        <v>0</v>
      </c>
      <c r="C33" s="91">
        <v>0</v>
      </c>
      <c r="D33" s="91">
        <v>35</v>
      </c>
      <c r="E33" s="91">
        <v>35</v>
      </c>
      <c r="F33" s="91">
        <v>0</v>
      </c>
      <c r="G33" s="91">
        <v>0</v>
      </c>
      <c r="H33" s="5">
        <f t="shared" si="0"/>
        <v>0</v>
      </c>
      <c r="I33" t="s">
        <v>38</v>
      </c>
    </row>
    <row r="34" spans="1:9">
      <c r="A34" s="90" t="s">
        <v>434</v>
      </c>
      <c r="B34" s="91">
        <v>0</v>
      </c>
      <c r="C34" s="91">
        <v>0</v>
      </c>
      <c r="D34" s="91">
        <v>0</v>
      </c>
      <c r="E34" s="91">
        <v>250</v>
      </c>
      <c r="F34" s="91">
        <v>0</v>
      </c>
      <c r="G34" s="91">
        <v>250</v>
      </c>
      <c r="H34" s="5">
        <f t="shared" si="0"/>
        <v>-250</v>
      </c>
      <c r="I34" s="2" t="s">
        <v>28</v>
      </c>
    </row>
    <row r="35" spans="1:9">
      <c r="A35" s="90" t="s">
        <v>264</v>
      </c>
      <c r="B35" s="91">
        <v>0</v>
      </c>
      <c r="C35" s="91">
        <v>0</v>
      </c>
      <c r="D35" s="91">
        <v>0</v>
      </c>
      <c r="E35" s="91">
        <v>44773.884960000003</v>
      </c>
      <c r="F35" s="91">
        <v>0</v>
      </c>
      <c r="G35" s="91">
        <v>44773.884960000003</v>
      </c>
      <c r="H35" s="5">
        <f t="shared" si="0"/>
        <v>-44773.884960000003</v>
      </c>
      <c r="I35" s="2" t="s">
        <v>29</v>
      </c>
    </row>
    <row r="36" spans="1:9">
      <c r="A36" s="90" t="s">
        <v>267</v>
      </c>
      <c r="B36" s="91">
        <v>0</v>
      </c>
      <c r="C36" s="91">
        <v>0</v>
      </c>
      <c r="D36" s="91">
        <v>1537744.5724000002</v>
      </c>
      <c r="E36" s="91">
        <v>1537744.5724000002</v>
      </c>
      <c r="F36" s="91">
        <v>0</v>
      </c>
      <c r="G36" s="91">
        <v>0</v>
      </c>
      <c r="H36" s="5">
        <f t="shared" si="0"/>
        <v>0</v>
      </c>
    </row>
    <row r="37" spans="1:9">
      <c r="A37" s="88" t="s">
        <v>268</v>
      </c>
      <c r="B37" s="89">
        <v>0</v>
      </c>
      <c r="C37" s="89">
        <v>0</v>
      </c>
      <c r="D37" s="89">
        <v>1533951.2597100001</v>
      </c>
      <c r="E37" s="89">
        <v>1533951.2597100001</v>
      </c>
      <c r="F37" s="89">
        <v>0</v>
      </c>
      <c r="G37" s="89">
        <v>0</v>
      </c>
      <c r="H37" s="5"/>
    </row>
    <row r="38" spans="1:9">
      <c r="A38" s="90" t="s">
        <v>269</v>
      </c>
      <c r="B38" s="91">
        <v>0</v>
      </c>
      <c r="C38" s="91">
        <v>0</v>
      </c>
      <c r="D38" s="91">
        <v>1533951.2597100001</v>
      </c>
      <c r="E38" s="91">
        <v>1533951.2597100001</v>
      </c>
      <c r="F38" s="91">
        <v>0</v>
      </c>
      <c r="G38" s="91">
        <v>0</v>
      </c>
      <c r="H38" s="5"/>
    </row>
    <row r="39" spans="1:9">
      <c r="A39" s="88" t="s">
        <v>273</v>
      </c>
      <c r="B39" s="89">
        <v>0</v>
      </c>
      <c r="C39" s="89">
        <v>0</v>
      </c>
      <c r="D39" s="89">
        <v>3793.3126899999997</v>
      </c>
      <c r="E39" s="89">
        <v>3793.3126899999997</v>
      </c>
      <c r="F39" s="89">
        <v>0</v>
      </c>
      <c r="G39" s="89">
        <v>0</v>
      </c>
      <c r="H39" s="5"/>
    </row>
    <row r="40" spans="1:9">
      <c r="A40" s="90" t="s">
        <v>280</v>
      </c>
      <c r="B40" s="91">
        <v>0</v>
      </c>
      <c r="C40" s="91">
        <v>0</v>
      </c>
      <c r="D40" s="91">
        <v>3793.3126899999997</v>
      </c>
      <c r="E40" s="91">
        <v>3793.3126899999997</v>
      </c>
      <c r="F40" s="91">
        <v>0</v>
      </c>
      <c r="G40" s="91">
        <v>0</v>
      </c>
      <c r="H40" s="5"/>
    </row>
    <row r="41" spans="1:9">
      <c r="A41" s="88" t="s">
        <v>283</v>
      </c>
      <c r="B41" s="89">
        <v>0</v>
      </c>
      <c r="C41" s="89">
        <v>0</v>
      </c>
      <c r="D41" s="89">
        <v>1377452.87209</v>
      </c>
      <c r="E41" s="89">
        <v>1377452.87209</v>
      </c>
      <c r="F41" s="89">
        <v>0</v>
      </c>
      <c r="G41" s="89">
        <v>0</v>
      </c>
      <c r="H41" s="5"/>
    </row>
    <row r="42" spans="1:9">
      <c r="A42" s="90" t="s">
        <v>284</v>
      </c>
      <c r="B42" s="91">
        <v>0</v>
      </c>
      <c r="C42" s="91">
        <v>0</v>
      </c>
      <c r="D42" s="91">
        <v>1377452.87209</v>
      </c>
      <c r="E42" s="91">
        <v>1377452.87209</v>
      </c>
      <c r="F42" s="91">
        <v>0</v>
      </c>
      <c r="G42" s="91">
        <v>0</v>
      </c>
      <c r="H42" s="5"/>
    </row>
    <row r="43" spans="1:9">
      <c r="A43" s="88" t="s">
        <v>287</v>
      </c>
      <c r="B43" s="89">
        <v>0</v>
      </c>
      <c r="C43" s="89">
        <v>0</v>
      </c>
      <c r="D43" s="89">
        <v>115502.33534999999</v>
      </c>
      <c r="E43" s="89">
        <v>115502.33534999999</v>
      </c>
      <c r="F43" s="89">
        <v>0</v>
      </c>
      <c r="G43" s="89">
        <v>0</v>
      </c>
      <c r="H43" s="5"/>
    </row>
    <row r="44" spans="1:9">
      <c r="A44" s="90" t="s">
        <v>288</v>
      </c>
      <c r="B44" s="91">
        <v>0</v>
      </c>
      <c r="C44" s="91">
        <v>0</v>
      </c>
      <c r="D44" s="91">
        <v>115502.33534999999</v>
      </c>
      <c r="E44" s="91">
        <v>115502.33534999999</v>
      </c>
      <c r="F44" s="91">
        <v>0</v>
      </c>
      <c r="G44" s="91">
        <v>0</v>
      </c>
      <c r="H44" s="5"/>
    </row>
    <row r="45" spans="1:9">
      <c r="A45" s="88" t="s">
        <v>295</v>
      </c>
      <c r="B45" s="89">
        <v>0</v>
      </c>
      <c r="C45" s="89">
        <v>0</v>
      </c>
      <c r="D45" s="89">
        <v>15.48</v>
      </c>
      <c r="E45" s="89">
        <v>15.48</v>
      </c>
      <c r="F45" s="89">
        <v>0</v>
      </c>
      <c r="G45" s="89">
        <v>0</v>
      </c>
      <c r="H45" s="5"/>
    </row>
    <row r="46" spans="1:9">
      <c r="A46" s="90" t="s">
        <v>310</v>
      </c>
      <c r="B46" s="91">
        <v>0</v>
      </c>
      <c r="C46" s="91">
        <v>0</v>
      </c>
      <c r="D46" s="91">
        <v>15.48</v>
      </c>
      <c r="E46" s="91">
        <v>15.48</v>
      </c>
      <c r="F46" s="91">
        <v>0</v>
      </c>
      <c r="G46" s="91">
        <v>0</v>
      </c>
      <c r="H46" s="5"/>
    </row>
    <row r="47" spans="1:9">
      <c r="A47" s="88" t="s">
        <v>314</v>
      </c>
      <c r="B47" s="89">
        <v>0</v>
      </c>
      <c r="C47" s="89">
        <v>0</v>
      </c>
      <c r="D47" s="89">
        <v>1381083.82329</v>
      </c>
      <c r="E47" s="89">
        <v>1381083.82329</v>
      </c>
      <c r="F47" s="89">
        <v>0</v>
      </c>
      <c r="G47" s="89">
        <v>0</v>
      </c>
      <c r="H47" s="5"/>
    </row>
    <row r="48" spans="1:9">
      <c r="A48" s="90" t="s">
        <v>315</v>
      </c>
      <c r="B48" s="91">
        <v>0</v>
      </c>
      <c r="C48" s="91">
        <v>0</v>
      </c>
      <c r="D48" s="91">
        <v>1381083.82329</v>
      </c>
      <c r="E48" s="91">
        <v>1381083.82329</v>
      </c>
      <c r="F48" s="91">
        <v>0</v>
      </c>
      <c r="G48" s="91">
        <v>0</v>
      </c>
      <c r="H48" s="5"/>
    </row>
    <row r="49" spans="1:8">
      <c r="A49" s="88" t="s">
        <v>328</v>
      </c>
      <c r="B49" s="89">
        <v>0</v>
      </c>
      <c r="C49" s="89">
        <v>0</v>
      </c>
      <c r="D49" s="89">
        <v>361998.47383999999</v>
      </c>
      <c r="E49" s="89">
        <v>361998.47383999999</v>
      </c>
      <c r="F49" s="89">
        <v>0</v>
      </c>
      <c r="G49" s="89">
        <v>0</v>
      </c>
      <c r="H49" s="5"/>
    </row>
    <row r="50" spans="1:8">
      <c r="A50" s="90" t="s">
        <v>329</v>
      </c>
      <c r="B50" s="91">
        <v>0</v>
      </c>
      <c r="C50" s="91">
        <v>0</v>
      </c>
      <c r="D50" s="91">
        <v>361998.47383999999</v>
      </c>
      <c r="E50" s="91">
        <v>361998.47383999999</v>
      </c>
      <c r="F50" s="91">
        <v>0</v>
      </c>
      <c r="G50" s="91">
        <v>0</v>
      </c>
      <c r="H50" s="5"/>
    </row>
    <row r="51" spans="1:8">
      <c r="A51" s="87" t="s">
        <v>338</v>
      </c>
      <c r="B51" s="93">
        <v>0</v>
      </c>
      <c r="C51" s="93">
        <v>0</v>
      </c>
      <c r="D51" s="93">
        <v>13197411.129389999</v>
      </c>
      <c r="E51" s="93">
        <v>13197411.129389999</v>
      </c>
      <c r="F51" s="93">
        <v>638907.16769999999</v>
      </c>
      <c r="G51" s="93">
        <v>638907.16769999999</v>
      </c>
      <c r="H51" s="5"/>
    </row>
    <row r="55" spans="1:8">
      <c r="A55" s="352" t="s">
        <v>342</v>
      </c>
      <c r="B55" s="352" t="s">
        <v>343</v>
      </c>
      <c r="C55" s="352" t="s">
        <v>54</v>
      </c>
      <c r="D55" s="352" t="s">
        <v>55</v>
      </c>
    </row>
    <row r="56" spans="1:8" ht="24">
      <c r="A56" s="353" t="s">
        <v>2105</v>
      </c>
      <c r="B56" s="354" t="s">
        <v>344</v>
      </c>
      <c r="C56" s="355"/>
      <c r="D56" s="355"/>
    </row>
    <row r="57" spans="1:8">
      <c r="A57" s="356"/>
      <c r="B57" s="357" t="s">
        <v>2106</v>
      </c>
      <c r="C57" s="359">
        <v>44773.884960000003</v>
      </c>
      <c r="D57" s="359">
        <v>0</v>
      </c>
    </row>
    <row r="58" spans="1:8">
      <c r="A58" s="358"/>
      <c r="B58" s="357" t="s">
        <v>567</v>
      </c>
      <c r="C58" s="359">
        <v>44773.884960000003</v>
      </c>
      <c r="D58" s="359">
        <v>0</v>
      </c>
    </row>
    <row r="59" spans="1:8">
      <c r="A59" s="356"/>
      <c r="B59" s="357" t="s">
        <v>2107</v>
      </c>
      <c r="C59" s="359">
        <v>0</v>
      </c>
      <c r="D59" s="359">
        <v>1533951.2597100001</v>
      </c>
    </row>
    <row r="60" spans="1:8">
      <c r="A60" s="358"/>
      <c r="B60" s="357" t="s">
        <v>569</v>
      </c>
      <c r="C60" s="359">
        <v>0</v>
      </c>
      <c r="D60" s="359">
        <v>1533951.2597100001</v>
      </c>
      <c r="E60" s="5">
        <f>C60-D60</f>
        <v>-1533951.2597100001</v>
      </c>
      <c r="F60" s="2" t="s">
        <v>347</v>
      </c>
    </row>
    <row r="61" spans="1:8">
      <c r="A61" s="356"/>
      <c r="B61" s="357" t="s">
        <v>2108</v>
      </c>
      <c r="C61" s="359">
        <v>0</v>
      </c>
      <c r="D61" s="359">
        <v>3793.3126899999997</v>
      </c>
      <c r="E61" s="5">
        <f>C61-D61</f>
        <v>-3793.3126899999997</v>
      </c>
      <c r="F61" s="2" t="s">
        <v>352</v>
      </c>
    </row>
    <row r="62" spans="1:8">
      <c r="A62" s="358"/>
      <c r="B62" s="357" t="s">
        <v>2109</v>
      </c>
      <c r="C62" s="359">
        <v>0</v>
      </c>
      <c r="D62" s="359">
        <v>3793.3126899999997</v>
      </c>
    </row>
    <row r="63" spans="1:8">
      <c r="A63" s="358"/>
      <c r="B63" s="357" t="s">
        <v>573</v>
      </c>
      <c r="C63" s="359">
        <v>1377452.87209</v>
      </c>
      <c r="D63" s="359">
        <v>0</v>
      </c>
      <c r="E63" s="5">
        <f>C63-D63</f>
        <v>1377452.87209</v>
      </c>
      <c r="F63" s="2" t="s">
        <v>348</v>
      </c>
    </row>
    <row r="64" spans="1:8">
      <c r="A64" s="358"/>
      <c r="B64" s="357" t="s">
        <v>575</v>
      </c>
      <c r="C64" s="359">
        <v>115502.33534999999</v>
      </c>
      <c r="D64" s="359">
        <v>0</v>
      </c>
      <c r="E64" s="5">
        <f>C64-D64</f>
        <v>115502.33534999999</v>
      </c>
      <c r="F64" s="2" t="s">
        <v>351</v>
      </c>
    </row>
    <row r="65" spans="1:6">
      <c r="A65" s="358"/>
      <c r="B65" s="357" t="s">
        <v>2110</v>
      </c>
      <c r="C65" s="359">
        <v>15.48</v>
      </c>
      <c r="D65" s="359">
        <v>0</v>
      </c>
      <c r="E65" s="5">
        <f>C65-D65</f>
        <v>15.48</v>
      </c>
      <c r="F65" s="2" t="s">
        <v>353</v>
      </c>
    </row>
    <row r="66" spans="1:6">
      <c r="A66" s="353"/>
      <c r="B66" s="354" t="s">
        <v>345</v>
      </c>
      <c r="C66" s="360">
        <v>1537744.5724000002</v>
      </c>
      <c r="D66" s="360">
        <v>1537744.5724000002</v>
      </c>
    </row>
    <row r="67" spans="1:6" ht="24">
      <c r="A67" s="353"/>
      <c r="B67" s="354" t="s">
        <v>346</v>
      </c>
      <c r="C67" s="355"/>
      <c r="D67" s="355"/>
    </row>
    <row r="68" spans="1:6">
      <c r="E68" s="2"/>
    </row>
    <row r="69" spans="1:6">
      <c r="E69" s="2"/>
    </row>
    <row r="70" spans="1:6">
      <c r="E70" s="2"/>
    </row>
    <row r="71" spans="1:6">
      <c r="E71" s="2"/>
    </row>
    <row r="72" spans="1:6">
      <c r="E72" s="2"/>
    </row>
    <row r="73" spans="1:6">
      <c r="E73" s="2"/>
    </row>
    <row r="74" spans="1:6">
      <c r="E74" s="2"/>
    </row>
    <row r="75" spans="1:6">
      <c r="E75" s="2"/>
    </row>
    <row r="76" spans="1:6">
      <c r="E76" s="2"/>
    </row>
    <row r="77" spans="1:6">
      <c r="E77" s="2"/>
    </row>
    <row r="78" spans="1:6">
      <c r="E78" s="2"/>
    </row>
    <row r="79" spans="1:6">
      <c r="E79" s="2"/>
    </row>
    <row r="80" spans="1:6">
      <c r="E80" s="2"/>
    </row>
    <row r="81" spans="5:5">
      <c r="E81" s="2"/>
    </row>
    <row r="82" spans="5:5">
      <c r="E82" s="2"/>
    </row>
  </sheetData>
  <autoFilter ref="A5:I5"/>
  <mergeCells count="4">
    <mergeCell ref="A3:A4"/>
    <mergeCell ref="B3:C3"/>
    <mergeCell ref="D3:E3"/>
    <mergeCell ref="F3:G3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G7" sqref="G7"/>
    </sheetView>
  </sheetViews>
  <sheetFormatPr defaultRowHeight="15"/>
  <cols>
    <col min="1" max="1" width="32.140625" customWidth="1"/>
    <col min="2" max="2" width="13.7109375" bestFit="1" customWidth="1"/>
    <col min="3" max="3" width="12.7109375" bestFit="1" customWidth="1"/>
    <col min="4" max="6" width="13.7109375" bestFit="1" customWidth="1"/>
    <col min="7" max="7" width="12.7109375" bestFit="1" customWidth="1"/>
    <col min="8" max="9" width="12.42578125" bestFit="1" customWidth="1"/>
  </cols>
  <sheetData>
    <row r="1" spans="1:9">
      <c r="A1" s="146" t="s">
        <v>342</v>
      </c>
      <c r="B1" s="970" t="s">
        <v>51</v>
      </c>
      <c r="C1" s="970"/>
      <c r="D1" s="970" t="s">
        <v>52</v>
      </c>
      <c r="E1" s="970"/>
      <c r="F1" s="970" t="s">
        <v>53</v>
      </c>
      <c r="G1" s="970"/>
    </row>
    <row r="2" spans="1:9">
      <c r="A2" s="146" t="s">
        <v>699</v>
      </c>
      <c r="B2" s="973" t="s">
        <v>54</v>
      </c>
      <c r="C2" s="973" t="s">
        <v>55</v>
      </c>
      <c r="D2" s="973" t="s">
        <v>54</v>
      </c>
      <c r="E2" s="973" t="s">
        <v>55</v>
      </c>
      <c r="F2" s="973" t="s">
        <v>54</v>
      </c>
      <c r="G2" s="973" t="s">
        <v>55</v>
      </c>
    </row>
    <row r="3" spans="1:9">
      <c r="A3" s="146" t="s">
        <v>700</v>
      </c>
      <c r="B3" s="974"/>
      <c r="C3" s="974"/>
      <c r="D3" s="974"/>
      <c r="E3" s="974"/>
      <c r="F3" s="974"/>
      <c r="G3" s="975"/>
      <c r="H3" s="154"/>
      <c r="I3" s="154" t="s">
        <v>704</v>
      </c>
    </row>
    <row r="4" spans="1:9">
      <c r="A4" s="147">
        <v>1110</v>
      </c>
      <c r="B4" s="149">
        <v>31652051.43953</v>
      </c>
      <c r="C4" s="149">
        <v>0</v>
      </c>
      <c r="D4" s="149">
        <v>10312151.27943</v>
      </c>
      <c r="E4" s="149">
        <v>23559281.733040001</v>
      </c>
      <c r="F4" s="149">
        <v>18404920.985919997</v>
      </c>
      <c r="G4" s="151">
        <v>0</v>
      </c>
      <c r="H4" s="158">
        <v>43100</v>
      </c>
      <c r="I4" s="158">
        <v>43465</v>
      </c>
    </row>
    <row r="5" spans="1:9">
      <c r="A5" s="148" t="s">
        <v>701</v>
      </c>
      <c r="B5" s="150">
        <v>5001657.77776</v>
      </c>
      <c r="C5" s="150">
        <v>0</v>
      </c>
      <c r="D5" s="150">
        <v>2522805.2971700002</v>
      </c>
      <c r="E5" s="150">
        <v>1797199.6761400001</v>
      </c>
      <c r="F5" s="150">
        <v>5727263.39879</v>
      </c>
      <c r="G5" s="152">
        <v>0</v>
      </c>
      <c r="H5" s="157">
        <f>B6+B15</f>
        <v>28202796.522529997</v>
      </c>
      <c r="I5" s="157">
        <f>F6+F15</f>
        <v>16166803.438029997</v>
      </c>
    </row>
    <row r="6" spans="1:9">
      <c r="A6" s="148" t="s">
        <v>702</v>
      </c>
      <c r="B6" s="150">
        <v>26468327.114819996</v>
      </c>
      <c r="C6" s="150">
        <v>0</v>
      </c>
      <c r="D6" s="150">
        <v>7789345.982259999</v>
      </c>
      <c r="E6" s="150">
        <v>21760481.838970002</v>
      </c>
      <c r="F6" s="150">
        <v>12497191.258109998</v>
      </c>
      <c r="G6" s="150">
        <v>0</v>
      </c>
    </row>
    <row r="7" spans="1:9">
      <c r="A7" s="148" t="s">
        <v>703</v>
      </c>
      <c r="B7" s="150">
        <v>182066.54694999999</v>
      </c>
      <c r="C7" s="150">
        <v>0</v>
      </c>
      <c r="D7" s="150">
        <v>0</v>
      </c>
      <c r="E7" s="150">
        <v>1600.21793</v>
      </c>
      <c r="F7" s="150">
        <v>180466.32902</v>
      </c>
      <c r="G7" s="150">
        <v>0</v>
      </c>
    </row>
    <row r="8" spans="1:9">
      <c r="H8" s="5">
        <f>ROUND('Займы выданные'!F5+'Займы выданные'!F14,0)</f>
        <v>5763072</v>
      </c>
    </row>
    <row r="10" spans="1:9">
      <c r="A10" s="146" t="s">
        <v>342</v>
      </c>
      <c r="B10" s="970" t="s">
        <v>51</v>
      </c>
      <c r="C10" s="970"/>
      <c r="D10" s="970" t="s">
        <v>52</v>
      </c>
      <c r="E10" s="970"/>
      <c r="F10" s="970" t="s">
        <v>53</v>
      </c>
      <c r="G10" s="970"/>
    </row>
    <row r="11" spans="1:9">
      <c r="A11" s="971" t="s">
        <v>700</v>
      </c>
      <c r="B11" s="973" t="s">
        <v>54</v>
      </c>
      <c r="C11" s="973" t="s">
        <v>55</v>
      </c>
      <c r="D11" s="973" t="s">
        <v>54</v>
      </c>
      <c r="E11" s="973" t="s">
        <v>55</v>
      </c>
      <c r="F11" s="973" t="s">
        <v>54</v>
      </c>
      <c r="G11" s="973" t="s">
        <v>55</v>
      </c>
    </row>
    <row r="12" spans="1:9">
      <c r="A12" s="972"/>
      <c r="B12" s="974"/>
      <c r="C12" s="974"/>
      <c r="D12" s="974"/>
      <c r="E12" s="974"/>
      <c r="F12" s="974"/>
      <c r="G12" s="975"/>
      <c r="H12" s="153"/>
      <c r="I12" s="153"/>
    </row>
    <row r="13" spans="1:9">
      <c r="A13" s="155">
        <v>2050</v>
      </c>
      <c r="B13" s="156">
        <v>1750368.94472</v>
      </c>
      <c r="C13" s="156">
        <v>0</v>
      </c>
      <c r="D13" s="156">
        <v>1965182.56706</v>
      </c>
      <c r="E13" s="156">
        <v>8911.9585700000007</v>
      </c>
      <c r="F13" s="156">
        <v>3706639.55321</v>
      </c>
      <c r="G13" s="159">
        <v>0</v>
      </c>
      <c r="H13" s="153"/>
      <c r="I13" s="160"/>
    </row>
    <row r="14" spans="1:9">
      <c r="A14" s="148" t="s">
        <v>701</v>
      </c>
      <c r="B14" s="150">
        <v>15602.262070000001</v>
      </c>
      <c r="C14" s="150">
        <v>0</v>
      </c>
      <c r="D14" s="150">
        <v>29118.742460000001</v>
      </c>
      <c r="E14" s="150">
        <v>8911.9585700000007</v>
      </c>
      <c r="F14" s="150">
        <v>35809.045960000003</v>
      </c>
      <c r="G14" s="152">
        <v>0</v>
      </c>
      <c r="H14" s="153"/>
      <c r="I14" s="153"/>
    </row>
    <row r="15" spans="1:9">
      <c r="A15" s="148" t="s">
        <v>702</v>
      </c>
      <c r="B15" s="150">
        <v>1734469.4077099999</v>
      </c>
      <c r="C15" s="150">
        <v>0</v>
      </c>
      <c r="D15" s="150">
        <v>1935142.7722099999</v>
      </c>
      <c r="E15" s="150">
        <v>0</v>
      </c>
      <c r="F15" s="150">
        <v>3669612.17992</v>
      </c>
      <c r="G15" s="150">
        <v>0</v>
      </c>
    </row>
    <row r="16" spans="1:9">
      <c r="A16" s="148" t="s">
        <v>703</v>
      </c>
      <c r="B16" s="150">
        <v>297.27494000000002</v>
      </c>
      <c r="C16" s="150">
        <v>0</v>
      </c>
      <c r="D16" s="150">
        <v>921.05239000000006</v>
      </c>
      <c r="E16" s="150">
        <v>0</v>
      </c>
      <c r="F16" s="150">
        <v>1218.3273300000001</v>
      </c>
      <c r="G16" s="150">
        <v>0</v>
      </c>
    </row>
    <row r="18" spans="1:9">
      <c r="A18" s="161" t="s">
        <v>342</v>
      </c>
      <c r="B18" s="965" t="s">
        <v>51</v>
      </c>
      <c r="C18" s="965"/>
      <c r="D18" s="965" t="s">
        <v>52</v>
      </c>
      <c r="E18" s="965"/>
      <c r="F18" s="965" t="s">
        <v>53</v>
      </c>
      <c r="G18" s="965"/>
    </row>
    <row r="19" spans="1:9">
      <c r="A19" s="966" t="s">
        <v>700</v>
      </c>
      <c r="B19" s="968" t="s">
        <v>54</v>
      </c>
      <c r="C19" s="968" t="s">
        <v>55</v>
      </c>
      <c r="D19" s="968" t="s">
        <v>54</v>
      </c>
      <c r="E19" s="968" t="s">
        <v>55</v>
      </c>
      <c r="F19" s="968" t="s">
        <v>54</v>
      </c>
      <c r="G19" s="968" t="s">
        <v>55</v>
      </c>
    </row>
    <row r="20" spans="1:9">
      <c r="A20" s="967"/>
      <c r="B20" s="969"/>
      <c r="C20" s="969"/>
      <c r="D20" s="969"/>
      <c r="E20" s="969"/>
      <c r="F20" s="969"/>
      <c r="G20" s="969"/>
    </row>
    <row r="21" spans="1:9">
      <c r="A21" s="162">
        <v>4010</v>
      </c>
      <c r="B21" s="163">
        <v>0</v>
      </c>
      <c r="C21" s="163">
        <v>26468327.114819996</v>
      </c>
      <c r="D21" s="163">
        <v>33002198.219840001</v>
      </c>
      <c r="E21" s="163">
        <v>38308672.380750008</v>
      </c>
      <c r="F21" s="163">
        <v>0</v>
      </c>
      <c r="G21" s="163">
        <v>31774801.275730003</v>
      </c>
      <c r="H21" s="164"/>
      <c r="I21" s="153"/>
    </row>
    <row r="22" spans="1:9">
      <c r="A22" s="148" t="s">
        <v>705</v>
      </c>
      <c r="B22" s="150">
        <v>0</v>
      </c>
      <c r="C22" s="150">
        <v>0</v>
      </c>
      <c r="D22" s="150">
        <v>5421270</v>
      </c>
      <c r="E22" s="150">
        <v>14546020</v>
      </c>
      <c r="F22" s="150">
        <v>0</v>
      </c>
      <c r="G22" s="150">
        <v>9124750</v>
      </c>
    </row>
    <row r="23" spans="1:9">
      <c r="A23" s="148" t="s">
        <v>706</v>
      </c>
      <c r="B23" s="150">
        <v>0</v>
      </c>
      <c r="C23" s="150">
        <v>26468327.114819996</v>
      </c>
      <c r="D23" s="150">
        <v>21760481.838970002</v>
      </c>
      <c r="E23" s="150">
        <v>7789345.982259999</v>
      </c>
      <c r="F23" s="150">
        <v>0</v>
      </c>
      <c r="G23" s="150">
        <v>12497191.258109998</v>
      </c>
    </row>
    <row r="24" spans="1:9">
      <c r="A24" s="148" t="s">
        <v>707</v>
      </c>
      <c r="B24" s="150">
        <v>0</v>
      </c>
      <c r="C24" s="150">
        <v>0</v>
      </c>
      <c r="D24" s="150">
        <v>5820446.3808699995</v>
      </c>
      <c r="E24" s="150">
        <v>15973306.398490002</v>
      </c>
      <c r="F24" s="150">
        <v>0</v>
      </c>
      <c r="G24" s="150">
        <v>10152860.017619999</v>
      </c>
    </row>
    <row r="26" spans="1:9">
      <c r="A26" s="161" t="s">
        <v>342</v>
      </c>
      <c r="B26" s="965" t="s">
        <v>51</v>
      </c>
      <c r="C26" s="965"/>
      <c r="D26" s="965" t="s">
        <v>52</v>
      </c>
      <c r="E26" s="965"/>
      <c r="F26" s="965" t="s">
        <v>53</v>
      </c>
      <c r="G26" s="965"/>
    </row>
    <row r="27" spans="1:9">
      <c r="A27" s="966" t="s">
        <v>700</v>
      </c>
      <c r="B27" s="968" t="s">
        <v>54</v>
      </c>
      <c r="C27" s="968" t="s">
        <v>55</v>
      </c>
      <c r="D27" s="968" t="s">
        <v>54</v>
      </c>
      <c r="E27" s="968" t="s">
        <v>55</v>
      </c>
      <c r="F27" s="968" t="s">
        <v>54</v>
      </c>
      <c r="G27" s="968" t="s">
        <v>55</v>
      </c>
    </row>
    <row r="28" spans="1:9">
      <c r="A28" s="967"/>
      <c r="B28" s="969"/>
      <c r="C28" s="969"/>
      <c r="D28" s="969"/>
      <c r="E28" s="969"/>
      <c r="F28" s="969"/>
      <c r="G28" s="969"/>
    </row>
    <row r="29" spans="1:9">
      <c r="A29" s="162">
        <v>4160</v>
      </c>
      <c r="B29" s="163">
        <v>0</v>
      </c>
      <c r="C29" s="163">
        <v>1734469.4077099999</v>
      </c>
      <c r="D29" s="163">
        <v>0</v>
      </c>
      <c r="E29" s="163">
        <v>0</v>
      </c>
      <c r="F29" s="163">
        <v>0</v>
      </c>
      <c r="G29" s="163">
        <v>1734469.4077099999</v>
      </c>
    </row>
    <row r="30" spans="1:9">
      <c r="A30" s="148" t="s">
        <v>706</v>
      </c>
      <c r="B30" s="150">
        <v>0</v>
      </c>
      <c r="C30" s="150">
        <v>1734469.4077099999</v>
      </c>
      <c r="D30" s="150">
        <v>0</v>
      </c>
      <c r="E30" s="150">
        <v>0</v>
      </c>
      <c r="F30" s="150">
        <v>0</v>
      </c>
      <c r="G30" s="150">
        <v>1734469.4077099999</v>
      </c>
      <c r="H30" s="5"/>
    </row>
    <row r="32" spans="1:9">
      <c r="A32" s="161" t="s">
        <v>342</v>
      </c>
      <c r="B32" s="965" t="s">
        <v>51</v>
      </c>
      <c r="C32" s="965"/>
      <c r="D32" s="965" t="s">
        <v>52</v>
      </c>
      <c r="E32" s="965"/>
      <c r="F32" s="965" t="s">
        <v>53</v>
      </c>
      <c r="G32" s="965"/>
    </row>
    <row r="33" spans="1:9">
      <c r="A33" s="966" t="s">
        <v>700</v>
      </c>
      <c r="B33" s="968" t="s">
        <v>54</v>
      </c>
      <c r="C33" s="968" t="s">
        <v>55</v>
      </c>
      <c r="D33" s="968" t="s">
        <v>54</v>
      </c>
      <c r="E33" s="968" t="s">
        <v>55</v>
      </c>
      <c r="F33" s="968" t="s">
        <v>54</v>
      </c>
      <c r="G33" s="968" t="s">
        <v>55</v>
      </c>
    </row>
    <row r="34" spans="1:9">
      <c r="A34" s="967"/>
      <c r="B34" s="969"/>
      <c r="C34" s="969"/>
      <c r="D34" s="969"/>
      <c r="E34" s="969"/>
      <c r="F34" s="969"/>
      <c r="G34" s="969"/>
    </row>
    <row r="35" spans="1:9">
      <c r="A35" s="162">
        <v>3380</v>
      </c>
      <c r="B35" s="163">
        <v>0</v>
      </c>
      <c r="C35" s="163">
        <v>0</v>
      </c>
      <c r="D35" s="163">
        <v>0</v>
      </c>
      <c r="E35" s="163">
        <v>1981967.1933100002</v>
      </c>
      <c r="F35" s="163">
        <v>0</v>
      </c>
      <c r="G35" s="163">
        <v>1981967.1933100002</v>
      </c>
    </row>
    <row r="36" spans="1:9">
      <c r="A36" s="148" t="s">
        <v>705</v>
      </c>
      <c r="B36" s="150">
        <v>0</v>
      </c>
      <c r="C36" s="150">
        <v>0</v>
      </c>
      <c r="D36" s="150">
        <v>0</v>
      </c>
      <c r="E36" s="150">
        <v>37918.403840000006</v>
      </c>
      <c r="F36" s="150">
        <v>0</v>
      </c>
      <c r="G36" s="150">
        <v>37918.403840000006</v>
      </c>
    </row>
    <row r="37" spans="1:9">
      <c r="A37" s="148" t="s">
        <v>706</v>
      </c>
      <c r="B37" s="150">
        <v>0</v>
      </c>
      <c r="C37" s="150">
        <v>0</v>
      </c>
      <c r="D37" s="150">
        <v>0</v>
      </c>
      <c r="E37" s="150">
        <v>1935142.7722099999</v>
      </c>
      <c r="F37" s="150">
        <v>0</v>
      </c>
      <c r="G37" s="150">
        <v>1935142.7722099999</v>
      </c>
      <c r="H37" s="157"/>
      <c r="I37" s="157"/>
    </row>
    <row r="38" spans="1:9">
      <c r="A38" s="148" t="s">
        <v>707</v>
      </c>
      <c r="B38" s="150">
        <v>0</v>
      </c>
      <c r="C38" s="150">
        <v>0</v>
      </c>
      <c r="D38" s="150">
        <v>0</v>
      </c>
      <c r="E38" s="150">
        <v>8906.0172600000005</v>
      </c>
      <c r="F38" s="150">
        <v>0</v>
      </c>
      <c r="G38" s="150">
        <v>8906.0172600000005</v>
      </c>
    </row>
  </sheetData>
  <mergeCells count="49">
    <mergeCell ref="B1:C1"/>
    <mergeCell ref="D1:E1"/>
    <mergeCell ref="F1:G1"/>
    <mergeCell ref="B2:B3"/>
    <mergeCell ref="C2:C3"/>
    <mergeCell ref="D2:D3"/>
    <mergeCell ref="E2:E3"/>
    <mergeCell ref="F2:F3"/>
    <mergeCell ref="G2:G3"/>
    <mergeCell ref="B10:C10"/>
    <mergeCell ref="D10:E10"/>
    <mergeCell ref="F10:G10"/>
    <mergeCell ref="A11:A12"/>
    <mergeCell ref="B11:B12"/>
    <mergeCell ref="C11:C12"/>
    <mergeCell ref="D11:D12"/>
    <mergeCell ref="E11:E12"/>
    <mergeCell ref="F11:F12"/>
    <mergeCell ref="G11:G12"/>
    <mergeCell ref="B18:C18"/>
    <mergeCell ref="D18:E18"/>
    <mergeCell ref="F18:G18"/>
    <mergeCell ref="A19:A20"/>
    <mergeCell ref="B19:B20"/>
    <mergeCell ref="C19:C20"/>
    <mergeCell ref="D19:D20"/>
    <mergeCell ref="E19:E20"/>
    <mergeCell ref="F19:F20"/>
    <mergeCell ref="G19:G20"/>
    <mergeCell ref="B26:C26"/>
    <mergeCell ref="D26:E26"/>
    <mergeCell ref="F26:G26"/>
    <mergeCell ref="A27:A28"/>
    <mergeCell ref="B27:B28"/>
    <mergeCell ref="C27:C28"/>
    <mergeCell ref="D27:D28"/>
    <mergeCell ref="E27:E28"/>
    <mergeCell ref="F27:F28"/>
    <mergeCell ref="G27:G28"/>
    <mergeCell ref="B32:C32"/>
    <mergeCell ref="D32:E32"/>
    <mergeCell ref="F32:G32"/>
    <mergeCell ref="A33:A34"/>
    <mergeCell ref="B33:B34"/>
    <mergeCell ref="C33:C34"/>
    <mergeCell ref="D33:D34"/>
    <mergeCell ref="E33:E34"/>
    <mergeCell ref="F33:F34"/>
    <mergeCell ref="G33:G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topLeftCell="A13" zoomScale="80" zoomScaleNormal="80" workbookViewId="0">
      <selection activeCell="I19" sqref="I19"/>
    </sheetView>
  </sheetViews>
  <sheetFormatPr defaultColWidth="8.7109375" defaultRowHeight="12.75"/>
  <cols>
    <col min="1" max="2" width="8.7109375" style="2"/>
    <col min="3" max="3" width="41.42578125" style="2" customWidth="1"/>
    <col min="4" max="4" width="14.85546875" style="2" customWidth="1"/>
    <col min="5" max="5" width="3.28515625" style="2" customWidth="1"/>
    <col min="6" max="6" width="14.140625" style="2" customWidth="1"/>
    <col min="7" max="7" width="0.5703125" style="2" customWidth="1"/>
    <col min="8" max="8" width="16" style="2" customWidth="1"/>
    <col min="9" max="9" width="11.42578125" style="2" bestFit="1" customWidth="1"/>
    <col min="10" max="16384" width="8.7109375" style="2"/>
  </cols>
  <sheetData>
    <row r="1" spans="2:16">
      <c r="B1" s="1" t="s">
        <v>3192</v>
      </c>
    </row>
    <row r="2" spans="2:16">
      <c r="D2" s="2" t="s">
        <v>3189</v>
      </c>
    </row>
    <row r="3" spans="2:16">
      <c r="B3" s="1" t="s">
        <v>2111</v>
      </c>
    </row>
    <row r="4" spans="2:16">
      <c r="B4" s="2" t="s">
        <v>3215</v>
      </c>
    </row>
    <row r="7" spans="2:16" s="215" customFormat="1" ht="25.5">
      <c r="B7" s="846" t="s">
        <v>3191</v>
      </c>
      <c r="C7" s="848"/>
      <c r="D7" s="506" t="s">
        <v>28</v>
      </c>
      <c r="E7" s="848"/>
      <c r="F7" s="506" t="s">
        <v>29</v>
      </c>
      <c r="G7" s="848"/>
      <c r="H7" s="506" t="s">
        <v>338</v>
      </c>
    </row>
    <row r="8" spans="2:16" s="582" customFormat="1">
      <c r="B8" s="847"/>
      <c r="C8" s="664"/>
      <c r="D8" s="546"/>
      <c r="E8" s="664"/>
      <c r="F8" s="546"/>
      <c r="G8" s="664"/>
      <c r="H8" s="546"/>
    </row>
    <row r="9" spans="2:16">
      <c r="B9" s="841" t="s">
        <v>3187</v>
      </c>
      <c r="C9" s="612"/>
      <c r="D9" s="827">
        <v>83565883</v>
      </c>
      <c r="E9" s="827"/>
      <c r="F9" s="868">
        <v>-111392404</v>
      </c>
      <c r="G9" s="827"/>
      <c r="H9" s="868">
        <v>-27826521</v>
      </c>
      <c r="I9" s="61"/>
      <c r="J9" s="673"/>
      <c r="K9" s="68"/>
      <c r="L9" s="673"/>
      <c r="M9" s="673"/>
      <c r="N9" s="673"/>
      <c r="O9" s="673"/>
      <c r="P9" s="673"/>
    </row>
    <row r="10" spans="2:16">
      <c r="B10" s="849" t="s">
        <v>2029</v>
      </c>
      <c r="C10" s="613"/>
      <c r="D10" s="850">
        <v>0</v>
      </c>
      <c r="E10" s="850"/>
      <c r="F10" s="869">
        <f>'Влияние МСФО 9'!E12</f>
        <v>-69901</v>
      </c>
      <c r="G10" s="850"/>
      <c r="H10" s="869">
        <f>SUM(D10:F10)</f>
        <v>-69901</v>
      </c>
      <c r="I10" s="672"/>
      <c r="J10" s="673"/>
      <c r="K10" s="68"/>
      <c r="L10" s="673"/>
      <c r="M10" s="673"/>
      <c r="N10" s="673"/>
      <c r="O10" s="673"/>
      <c r="P10" s="673"/>
    </row>
    <row r="11" spans="2:16">
      <c r="B11" s="841" t="s">
        <v>2953</v>
      </c>
      <c r="C11" s="612"/>
      <c r="D11" s="827">
        <f>SUM(D9:D10)</f>
        <v>83565883</v>
      </c>
      <c r="E11" s="827"/>
      <c r="F11" s="868">
        <f>SUM(F9:F10)</f>
        <v>-111462305</v>
      </c>
      <c r="G11" s="827"/>
      <c r="H11" s="868">
        <f>SUM(H9:H10)</f>
        <v>-27896422</v>
      </c>
      <c r="I11" s="715"/>
      <c r="J11" s="673"/>
      <c r="K11" s="68"/>
      <c r="L11" s="673"/>
      <c r="M11" s="673"/>
      <c r="N11" s="673"/>
      <c r="O11" s="673"/>
      <c r="P11" s="673"/>
    </row>
    <row r="12" spans="2:16">
      <c r="B12" s="673" t="s">
        <v>2113</v>
      </c>
      <c r="C12" s="673"/>
      <c r="D12" s="68">
        <v>0</v>
      </c>
      <c r="E12" s="68"/>
      <c r="F12" s="68">
        <v>20224551</v>
      </c>
      <c r="G12" s="68"/>
      <c r="H12" s="68">
        <f>SUM(D12:F12)</f>
        <v>20224551</v>
      </c>
      <c r="I12" s="674"/>
      <c r="J12" s="628"/>
      <c r="K12" s="628"/>
      <c r="L12" s="628"/>
      <c r="M12" s="673"/>
      <c r="N12" s="68"/>
      <c r="O12" s="68"/>
      <c r="P12" s="68"/>
    </row>
    <row r="13" spans="2:16">
      <c r="B13" s="673" t="s">
        <v>3203</v>
      </c>
      <c r="C13" s="673"/>
      <c r="D13" s="68">
        <v>0</v>
      </c>
      <c r="E13" s="68"/>
      <c r="F13" s="68">
        <v>17769546</v>
      </c>
      <c r="G13" s="68"/>
      <c r="H13" s="68">
        <f t="shared" ref="H13" si="0">SUM(D13:F13)</f>
        <v>17769546</v>
      </c>
      <c r="I13" s="674"/>
      <c r="J13" s="632"/>
      <c r="K13" s="724"/>
      <c r="L13" s="724"/>
      <c r="M13" s="673"/>
      <c r="N13" s="68"/>
      <c r="O13" s="68"/>
      <c r="P13" s="68"/>
    </row>
    <row r="14" spans="2:16">
      <c r="B14" s="612" t="s">
        <v>2978</v>
      </c>
      <c r="C14" s="612"/>
      <c r="D14" s="824">
        <v>0</v>
      </c>
      <c r="E14" s="824"/>
      <c r="F14" s="824">
        <v>11936712</v>
      </c>
      <c r="G14" s="824"/>
      <c r="H14" s="824">
        <f>SUM(D14:F14)</f>
        <v>11936712</v>
      </c>
      <c r="I14" s="672"/>
      <c r="J14" s="632"/>
      <c r="K14" s="724"/>
      <c r="L14" s="724"/>
      <c r="M14" s="673"/>
      <c r="N14" s="68"/>
      <c r="O14" s="68"/>
      <c r="P14" s="68"/>
    </row>
    <row r="15" spans="2:16">
      <c r="B15" s="841" t="s">
        <v>3188</v>
      </c>
      <c r="C15" s="612"/>
      <c r="D15" s="827">
        <f>SUM(D11:D14)</f>
        <v>83565883</v>
      </c>
      <c r="E15" s="824"/>
      <c r="F15" s="868">
        <f>SUM(F11:F14)</f>
        <v>-61531496</v>
      </c>
      <c r="G15" s="827"/>
      <c r="H15" s="827">
        <f>SUM(H11:H14)</f>
        <v>22034387</v>
      </c>
      <c r="I15" s="810"/>
      <c r="J15" s="559"/>
      <c r="K15" s="559"/>
      <c r="L15" s="559"/>
      <c r="M15" s="673"/>
      <c r="N15" s="68"/>
      <c r="O15" s="68"/>
      <c r="P15" s="68"/>
    </row>
    <row r="16" spans="2:16">
      <c r="B16" s="636"/>
      <c r="C16" s="673"/>
      <c r="D16" s="65"/>
      <c r="E16" s="68"/>
      <c r="F16" s="65"/>
      <c r="G16" s="65"/>
      <c r="H16" s="65"/>
      <c r="I16" s="810"/>
      <c r="J16" s="559"/>
      <c r="K16" s="559"/>
      <c r="L16" s="559"/>
      <c r="M16" s="673"/>
      <c r="N16" s="68"/>
      <c r="O16" s="68"/>
      <c r="P16" s="68"/>
    </row>
    <row r="17" spans="2:16">
      <c r="B17" s="612" t="s">
        <v>3194</v>
      </c>
      <c r="C17" s="612"/>
      <c r="D17" s="824">
        <v>0</v>
      </c>
      <c r="E17" s="612"/>
      <c r="F17" s="824">
        <f>ОПИУ!C25</f>
        <v>23603294</v>
      </c>
      <c r="G17" s="612"/>
      <c r="H17" s="824">
        <f>SUM(D17:F17)</f>
        <v>23603294</v>
      </c>
      <c r="I17" s="672"/>
      <c r="J17" s="673"/>
      <c r="K17" s="673"/>
      <c r="L17" s="673"/>
      <c r="M17" s="673"/>
      <c r="N17" s="673"/>
      <c r="O17" s="673"/>
      <c r="P17" s="673"/>
    </row>
    <row r="18" spans="2:16">
      <c r="B18" s="841" t="s">
        <v>3216</v>
      </c>
      <c r="C18" s="612"/>
      <c r="D18" s="827">
        <f>SUM(D15:D17)</f>
        <v>83565883</v>
      </c>
      <c r="E18" s="612"/>
      <c r="F18" s="868">
        <f>SUM(F15:F17)</f>
        <v>-37928202</v>
      </c>
      <c r="G18" s="612"/>
      <c r="H18" s="827">
        <f>SUM(H15:H17)</f>
        <v>45637681</v>
      </c>
      <c r="I18" s="810"/>
      <c r="J18" s="673"/>
      <c r="K18" s="673"/>
      <c r="L18" s="673"/>
      <c r="M18" s="673"/>
      <c r="N18" s="673"/>
      <c r="O18" s="673"/>
      <c r="P18" s="673"/>
    </row>
    <row r="19" spans="2:16">
      <c r="F19" s="41"/>
      <c r="H19" s="41"/>
      <c r="I19" s="674"/>
      <c r="J19" s="673"/>
      <c r="K19" s="673"/>
      <c r="L19" s="673"/>
      <c r="M19" s="673"/>
      <c r="N19" s="673"/>
      <c r="O19" s="673"/>
      <c r="P19" s="673"/>
    </row>
    <row r="20" spans="2:16">
      <c r="C20" s="41"/>
      <c r="D20" s="41"/>
      <c r="F20" s="41"/>
      <c r="I20" s="674"/>
      <c r="J20" s="673"/>
    </row>
    <row r="21" spans="2:16">
      <c r="C21" s="834"/>
      <c r="F21" s="977"/>
    </row>
    <row r="22" spans="2:16">
      <c r="C22" s="834"/>
      <c r="F22" s="977"/>
    </row>
    <row r="23" spans="2:16" ht="13.5" thickBot="1">
      <c r="B23" s="834" t="s">
        <v>3181</v>
      </c>
      <c r="F23" s="978"/>
    </row>
    <row r="24" spans="2:16">
      <c r="B24" s="834"/>
      <c r="F24" s="835" t="s">
        <v>3182</v>
      </c>
    </row>
    <row r="25" spans="2:16">
      <c r="B25" s="976"/>
      <c r="F25" s="977"/>
    </row>
    <row r="26" spans="2:16">
      <c r="B26" s="976"/>
      <c r="F26" s="977"/>
    </row>
    <row r="27" spans="2:16">
      <c r="B27" s="976"/>
      <c r="F27" s="977"/>
    </row>
    <row r="28" spans="2:16">
      <c r="B28" s="834"/>
      <c r="F28" s="835"/>
    </row>
    <row r="29" spans="2:16" ht="13.5" thickBot="1">
      <c r="B29" s="834" t="s">
        <v>3183</v>
      </c>
      <c r="F29" s="836"/>
    </row>
    <row r="30" spans="2:16">
      <c r="C30" s="834"/>
      <c r="F30" s="835" t="s">
        <v>3184</v>
      </c>
    </row>
    <row r="31" spans="2:16">
      <c r="C31" s="41"/>
    </row>
  </sheetData>
  <mergeCells count="3">
    <mergeCell ref="B25:B27"/>
    <mergeCell ref="F21:F23"/>
    <mergeCell ref="F25:F27"/>
  </mergeCells>
  <pageMargins left="0.7" right="0.7" top="0.75" bottom="0.75" header="0.3" footer="0.3"/>
  <pageSetup paperSize="9" scale="8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80" zoomScaleNormal="80" workbookViewId="0">
      <selection activeCell="C27" sqref="C27"/>
    </sheetView>
  </sheetViews>
  <sheetFormatPr defaultColWidth="8.7109375" defaultRowHeight="12.75"/>
  <cols>
    <col min="1" max="1" width="71.42578125" style="2" customWidth="1"/>
    <col min="2" max="2" width="9.140625" style="2" hidden="1" customWidth="1"/>
    <col min="3" max="3" width="21.140625" style="2" customWidth="1"/>
    <col min="4" max="4" width="0.140625" style="674" customWidth="1"/>
    <col min="5" max="5" width="21.85546875" style="2" customWidth="1"/>
    <col min="6" max="16384" width="8.7109375" style="2"/>
  </cols>
  <sheetData>
    <row r="1" spans="1:5">
      <c r="A1" s="1" t="s">
        <v>3192</v>
      </c>
      <c r="B1" s="1"/>
      <c r="C1" s="1"/>
    </row>
    <row r="2" spans="1:5">
      <c r="C2" s="2" t="s">
        <v>3189</v>
      </c>
    </row>
    <row r="3" spans="1:5">
      <c r="A3" s="1" t="s">
        <v>3193</v>
      </c>
    </row>
    <row r="4" spans="1:5">
      <c r="A4" s="1" t="s">
        <v>3235</v>
      </c>
    </row>
    <row r="5" spans="1:5">
      <c r="A5" s="1"/>
    </row>
    <row r="6" spans="1:5" ht="25.5">
      <c r="A6" s="846" t="s">
        <v>3191</v>
      </c>
      <c r="B6" s="612"/>
      <c r="C6" s="217" t="s">
        <v>3213</v>
      </c>
      <c r="D6" s="613"/>
      <c r="E6" s="217" t="s">
        <v>3214</v>
      </c>
    </row>
    <row r="7" spans="1:5">
      <c r="A7" s="847"/>
      <c r="B7" s="673"/>
      <c r="C7" s="227"/>
      <c r="E7" s="227"/>
    </row>
    <row r="8" spans="1:5">
      <c r="A8" s="2" t="s">
        <v>347</v>
      </c>
      <c r="C8" s="41">
        <v>80852376</v>
      </c>
      <c r="D8" s="120"/>
      <c r="E8" s="68">
        <v>53605460</v>
      </c>
    </row>
    <row r="9" spans="1:5">
      <c r="A9" s="2" t="s">
        <v>348</v>
      </c>
      <c r="C9" s="865">
        <v>-39351126</v>
      </c>
      <c r="D9" s="120"/>
      <c r="E9" s="866">
        <v>-32602833</v>
      </c>
    </row>
    <row r="10" spans="1:5">
      <c r="A10" s="821" t="s">
        <v>349</v>
      </c>
      <c r="B10" s="822"/>
      <c r="C10" s="739">
        <f>SUM(C8:C9)</f>
        <v>41501250</v>
      </c>
      <c r="E10" s="823">
        <f>SUM(E8:E9)</f>
        <v>21002627</v>
      </c>
    </row>
    <row r="11" spans="1:5">
      <c r="A11" s="673"/>
      <c r="B11" s="673"/>
      <c r="C11" s="673"/>
      <c r="E11" s="673"/>
    </row>
    <row r="12" spans="1:5">
      <c r="A12" s="2" t="s">
        <v>350</v>
      </c>
      <c r="C12" s="865">
        <v>-1053913</v>
      </c>
      <c r="D12" s="120"/>
      <c r="E12" s="866">
        <v>-379656</v>
      </c>
    </row>
    <row r="13" spans="1:5">
      <c r="A13" s="2" t="s">
        <v>351</v>
      </c>
      <c r="C13" s="865">
        <v>-4886171</v>
      </c>
      <c r="D13" s="120"/>
      <c r="E13" s="866">
        <v>-4845657</v>
      </c>
    </row>
    <row r="14" spans="1:5">
      <c r="A14" s="2" t="s">
        <v>352</v>
      </c>
      <c r="C14" s="41">
        <v>61517</v>
      </c>
      <c r="D14" s="120"/>
      <c r="E14" s="68">
        <v>179374</v>
      </c>
    </row>
    <row r="15" spans="1:5">
      <c r="A15" s="2" t="s">
        <v>353</v>
      </c>
      <c r="C15" s="865">
        <v>-868831</v>
      </c>
      <c r="D15" s="120"/>
      <c r="E15" s="866">
        <v>-375350</v>
      </c>
    </row>
    <row r="16" spans="1:5">
      <c r="A16" s="2" t="s">
        <v>3238</v>
      </c>
      <c r="C16" s="68">
        <v>185387</v>
      </c>
      <c r="D16" s="120"/>
      <c r="E16" s="68">
        <v>517208</v>
      </c>
    </row>
    <row r="17" spans="1:5">
      <c r="A17" s="2" t="s">
        <v>3236</v>
      </c>
      <c r="C17" s="865">
        <v>-86228</v>
      </c>
      <c r="D17" s="120"/>
      <c r="E17" s="68">
        <v>16132</v>
      </c>
    </row>
    <row r="18" spans="1:5">
      <c r="A18" s="821" t="s">
        <v>356</v>
      </c>
      <c r="B18" s="822"/>
      <c r="C18" s="739">
        <f>SUM(C10:C17)</f>
        <v>34853011</v>
      </c>
      <c r="E18" s="739">
        <f>SUM(E10:E17)</f>
        <v>16114678</v>
      </c>
    </row>
    <row r="19" spans="1:5">
      <c r="A19" s="673" t="s">
        <v>3237</v>
      </c>
      <c r="B19" s="673"/>
      <c r="C19" s="866">
        <v>-280433</v>
      </c>
      <c r="D19" s="120"/>
      <c r="E19" s="866">
        <v>-2550848</v>
      </c>
    </row>
    <row r="20" spans="1:5">
      <c r="A20" s="2" t="s">
        <v>357</v>
      </c>
      <c r="C20" s="41">
        <v>123381</v>
      </c>
      <c r="D20" s="120"/>
      <c r="E20" s="68">
        <v>72429</v>
      </c>
    </row>
    <row r="21" spans="1:5">
      <c r="A21" s="612" t="s">
        <v>358</v>
      </c>
      <c r="B21" s="612"/>
      <c r="C21" s="867">
        <v>-7846228</v>
      </c>
      <c r="D21" s="120"/>
      <c r="E21" s="867">
        <v>-5774947</v>
      </c>
    </row>
    <row r="22" spans="1:5">
      <c r="A22" s="6" t="s">
        <v>3178</v>
      </c>
      <c r="B22" s="673"/>
      <c r="C22" s="65">
        <f>SUM(C18:C21)</f>
        <v>26849731</v>
      </c>
      <c r="E22" s="65">
        <f>SUM(E18:E21)</f>
        <v>7861312</v>
      </c>
    </row>
    <row r="23" spans="1:5">
      <c r="E23" s="68"/>
    </row>
    <row r="24" spans="1:5">
      <c r="A24" s="2" t="s">
        <v>3177</v>
      </c>
      <c r="C24" s="865">
        <v>-3246437</v>
      </c>
      <c r="D24" s="120"/>
      <c r="E24" s="866">
        <v>-323263</v>
      </c>
    </row>
    <row r="25" spans="1:5" ht="13.5" thickBot="1">
      <c r="A25" s="556" t="s">
        <v>3194</v>
      </c>
      <c r="B25" s="213"/>
      <c r="C25" s="42">
        <f>C24+C22</f>
        <v>23603294</v>
      </c>
      <c r="E25" s="42">
        <f>E24+E22</f>
        <v>7538049</v>
      </c>
    </row>
    <row r="26" spans="1:5" ht="13.5" thickTop="1">
      <c r="A26" s="6"/>
      <c r="B26" s="673"/>
      <c r="C26" s="65"/>
      <c r="E26" s="65"/>
    </row>
    <row r="27" spans="1:5">
      <c r="A27" s="920" t="s">
        <v>3198</v>
      </c>
      <c r="B27" s="921"/>
      <c r="C27" s="65"/>
      <c r="E27" s="65"/>
    </row>
    <row r="28" spans="1:5" ht="25.5">
      <c r="A28" s="664" t="s">
        <v>3199</v>
      </c>
      <c r="B28" s="922"/>
      <c r="C28" s="922">
        <f>C25/83565883*1000</f>
        <v>282.45132047488806</v>
      </c>
      <c r="E28" s="923">
        <f>E25/83565883*1000</f>
        <v>90.204862671049611</v>
      </c>
    </row>
    <row r="29" spans="1:5" ht="25.5">
      <c r="A29" s="664" t="s">
        <v>3200</v>
      </c>
      <c r="B29" s="922"/>
      <c r="C29" s="922">
        <f>C28</f>
        <v>282.45132047488806</v>
      </c>
      <c r="E29" s="889">
        <f>E28</f>
        <v>90.204862671049611</v>
      </c>
    </row>
    <row r="30" spans="1:5">
      <c r="A30" s="924" t="s">
        <v>3202</v>
      </c>
      <c r="B30" s="925"/>
      <c r="C30" s="68">
        <v>0</v>
      </c>
      <c r="E30" s="68">
        <v>0</v>
      </c>
    </row>
    <row r="31" spans="1:5" ht="13.5" thickBot="1">
      <c r="A31" s="926" t="s">
        <v>3201</v>
      </c>
      <c r="B31" s="927"/>
      <c r="C31" s="927">
        <f>C25</f>
        <v>23603294</v>
      </c>
      <c r="E31" s="927">
        <f>E25</f>
        <v>7538049</v>
      </c>
    </row>
    <row r="32" spans="1:5">
      <c r="A32" s="6"/>
      <c r="B32" s="673"/>
      <c r="C32" s="65"/>
      <c r="E32" s="65"/>
    </row>
    <row r="33" spans="1:5">
      <c r="A33" s="6"/>
      <c r="B33" s="673"/>
      <c r="C33" s="65"/>
      <c r="E33" s="65"/>
    </row>
    <row r="34" spans="1:5">
      <c r="A34" s="6"/>
      <c r="B34" s="673"/>
      <c r="C34" s="65"/>
      <c r="E34" s="65"/>
    </row>
    <row r="35" spans="1:5">
      <c r="A35" s="6"/>
      <c r="B35" s="673"/>
      <c r="C35" s="65"/>
      <c r="E35" s="65"/>
    </row>
    <row r="36" spans="1:5">
      <c r="B36" s="928"/>
      <c r="E36" s="979"/>
    </row>
    <row r="37" spans="1:5">
      <c r="B37" s="928"/>
      <c r="E37" s="979"/>
    </row>
    <row r="38" spans="1:5" ht="13.5" thickBot="1">
      <c r="B38" s="928" t="s">
        <v>3181</v>
      </c>
      <c r="E38" s="980"/>
    </row>
    <row r="39" spans="1:5">
      <c r="A39" s="2" t="s">
        <v>3204</v>
      </c>
      <c r="B39" s="928"/>
      <c r="E39" s="929" t="s">
        <v>3182</v>
      </c>
    </row>
    <row r="40" spans="1:5">
      <c r="B40" s="981"/>
      <c r="E40" s="979"/>
    </row>
    <row r="41" spans="1:5">
      <c r="B41" s="981"/>
      <c r="E41" s="979"/>
    </row>
    <row r="42" spans="1:5">
      <c r="B42" s="981"/>
      <c r="E42" s="979"/>
    </row>
    <row r="43" spans="1:5">
      <c r="B43" s="928"/>
      <c r="E43" s="929"/>
    </row>
    <row r="44" spans="1:5" ht="13.5" thickBot="1">
      <c r="B44" s="928" t="s">
        <v>3183</v>
      </c>
      <c r="E44" s="930"/>
    </row>
    <row r="45" spans="1:5">
      <c r="A45" s="2" t="s">
        <v>3183</v>
      </c>
      <c r="B45" s="928"/>
      <c r="E45" s="929" t="s">
        <v>3184</v>
      </c>
    </row>
  </sheetData>
  <mergeCells count="3">
    <mergeCell ref="E36:E38"/>
    <mergeCell ref="B40:B42"/>
    <mergeCell ref="E40:E4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46" zoomScale="80" zoomScaleNormal="80" workbookViewId="0">
      <selection activeCell="H89" sqref="H89"/>
    </sheetView>
  </sheetViews>
  <sheetFormatPr defaultColWidth="11.140625" defaultRowHeight="12.75"/>
  <cols>
    <col min="1" max="1" width="11.140625" style="214"/>
    <col min="2" max="2" width="11.140625" style="2"/>
    <col min="3" max="3" width="38.140625" style="2" customWidth="1"/>
    <col min="4" max="4" width="17" style="2" customWidth="1"/>
    <col min="5" max="5" width="9.140625" style="2" customWidth="1"/>
    <col min="6" max="6" width="19.7109375" style="2" customWidth="1"/>
    <col min="7" max="7" width="11.140625" style="2"/>
    <col min="8" max="8" width="25.5703125" style="2" customWidth="1"/>
    <col min="9" max="9" width="11.5703125" style="2" bestFit="1" customWidth="1"/>
    <col min="10" max="10" width="11.140625" style="2"/>
    <col min="11" max="11" width="11.5703125" style="2" bestFit="1" customWidth="1"/>
    <col min="12" max="15" width="11.42578125" style="2" bestFit="1" customWidth="1"/>
    <col min="16" max="16384" width="11.140625" style="2"/>
  </cols>
  <sheetData>
    <row r="1" spans="1:15">
      <c r="A1" s="854" t="s">
        <v>3192</v>
      </c>
    </row>
    <row r="2" spans="1:15">
      <c r="D2" s="221" t="s">
        <v>3189</v>
      </c>
      <c r="E2" s="221"/>
      <c r="F2" s="221"/>
    </row>
    <row r="3" spans="1:15" ht="15.75">
      <c r="A3" s="851" t="s">
        <v>369</v>
      </c>
      <c r="D3" s="668"/>
      <c r="E3" s="58"/>
    </row>
    <row r="4" spans="1:15" ht="21.75" customHeight="1">
      <c r="A4" s="860" t="s">
        <v>3212</v>
      </c>
      <c r="B4" s="861"/>
      <c r="D4" s="123"/>
      <c r="E4" s="663"/>
      <c r="F4" s="676"/>
    </row>
    <row r="5" spans="1:15" ht="39.75" customHeight="1">
      <c r="A5" s="852" t="s">
        <v>3190</v>
      </c>
      <c r="B5" s="612"/>
      <c r="C5" s="612"/>
      <c r="D5" s="826" t="s">
        <v>3211</v>
      </c>
      <c r="E5" s="825"/>
      <c r="F5" s="826" t="s">
        <v>3196</v>
      </c>
    </row>
    <row r="6" spans="1:15" ht="12" customHeight="1">
      <c r="A6" s="853"/>
      <c r="B6" s="673"/>
      <c r="C6" s="673"/>
      <c r="D6" s="842"/>
      <c r="E6" s="843"/>
      <c r="F6" s="842"/>
    </row>
    <row r="7" spans="1:15">
      <c r="A7" s="854" t="s">
        <v>13</v>
      </c>
    </row>
    <row r="8" spans="1:15">
      <c r="A8" s="854" t="s">
        <v>14</v>
      </c>
      <c r="K8" s="41"/>
      <c r="L8" s="41"/>
      <c r="M8" s="41"/>
      <c r="N8" s="41"/>
      <c r="O8" s="41"/>
    </row>
    <row r="9" spans="1:15">
      <c r="A9" s="214" t="s">
        <v>7</v>
      </c>
      <c r="D9" s="41">
        <v>83643356</v>
      </c>
      <c r="E9" s="41"/>
      <c r="F9" s="41">
        <v>80563633</v>
      </c>
      <c r="H9" s="41"/>
      <c r="K9" s="41"/>
      <c r="L9" s="41"/>
      <c r="M9" s="41"/>
      <c r="N9" s="41"/>
      <c r="O9" s="41"/>
    </row>
    <row r="10" spans="1:15">
      <c r="A10" s="214" t="s">
        <v>2959</v>
      </c>
      <c r="D10" s="41">
        <v>87038</v>
      </c>
      <c r="E10" s="41"/>
      <c r="F10" s="41">
        <v>87038</v>
      </c>
      <c r="H10" s="41"/>
      <c r="K10" s="41"/>
      <c r="L10" s="41"/>
      <c r="M10" s="41"/>
      <c r="N10" s="41"/>
      <c r="O10" s="41"/>
    </row>
    <row r="11" spans="1:15">
      <c r="A11" s="214" t="s">
        <v>8</v>
      </c>
      <c r="D11" s="41">
        <v>199221</v>
      </c>
      <c r="E11" s="41"/>
      <c r="F11" s="41">
        <v>206592</v>
      </c>
      <c r="H11" s="41"/>
      <c r="K11" s="41"/>
      <c r="L11" s="41"/>
      <c r="M11" s="41"/>
      <c r="N11" s="41"/>
      <c r="O11" s="41"/>
    </row>
    <row r="12" spans="1:15">
      <c r="A12" s="214" t="s">
        <v>9</v>
      </c>
      <c r="D12" s="41">
        <v>1248775</v>
      </c>
      <c r="E12" s="41"/>
      <c r="F12" s="41">
        <v>1144646</v>
      </c>
      <c r="H12" s="41"/>
      <c r="K12" s="41"/>
      <c r="L12" s="41"/>
      <c r="M12" s="41"/>
      <c r="N12" s="41"/>
      <c r="O12" s="41"/>
    </row>
    <row r="13" spans="1:15">
      <c r="A13" s="214" t="s">
        <v>10</v>
      </c>
      <c r="D13" s="41">
        <v>1269280</v>
      </c>
      <c r="E13" s="41"/>
      <c r="F13" s="41">
        <v>1777192</v>
      </c>
      <c r="H13" s="41"/>
      <c r="K13" s="41"/>
      <c r="L13" s="41"/>
      <c r="M13" s="41"/>
      <c r="N13" s="41"/>
      <c r="O13" s="41"/>
    </row>
    <row r="14" spans="1:15">
      <c r="A14" s="214" t="s">
        <v>18</v>
      </c>
      <c r="D14" s="41">
        <v>1851349</v>
      </c>
      <c r="E14" s="41"/>
      <c r="F14" s="41">
        <v>2488572</v>
      </c>
      <c r="H14" s="41"/>
      <c r="K14" s="41"/>
      <c r="L14" s="41"/>
      <c r="M14" s="41"/>
      <c r="N14" s="41"/>
      <c r="O14" s="41"/>
    </row>
    <row r="15" spans="1:15">
      <c r="A15" s="214" t="s">
        <v>3063</v>
      </c>
      <c r="D15" s="41">
        <v>4845375</v>
      </c>
      <c r="E15" s="41"/>
      <c r="F15" s="41">
        <v>0</v>
      </c>
      <c r="H15" s="41"/>
      <c r="K15" s="41"/>
      <c r="L15" s="41"/>
      <c r="M15" s="41"/>
      <c r="N15" s="41"/>
      <c r="O15" s="41"/>
    </row>
    <row r="16" spans="1:15">
      <c r="A16" s="214" t="s">
        <v>21</v>
      </c>
      <c r="D16" s="41">
        <v>8529670</v>
      </c>
      <c r="E16" s="41"/>
      <c r="F16" s="41">
        <v>1123531</v>
      </c>
      <c r="H16" s="41"/>
      <c r="K16" s="41"/>
      <c r="L16" s="41"/>
      <c r="M16" s="41"/>
      <c r="N16" s="41"/>
      <c r="O16" s="41"/>
    </row>
    <row r="17" spans="1:15">
      <c r="A17" s="855" t="s">
        <v>389</v>
      </c>
      <c r="D17" s="41">
        <v>268753</v>
      </c>
      <c r="E17" s="41"/>
      <c r="F17" s="41">
        <v>161701</v>
      </c>
      <c r="H17" s="41"/>
      <c r="K17" s="41"/>
      <c r="L17" s="41"/>
      <c r="M17" s="41"/>
      <c r="N17" s="41"/>
      <c r="O17" s="41"/>
    </row>
    <row r="18" spans="1:15">
      <c r="A18" s="214" t="s">
        <v>2038</v>
      </c>
      <c r="D18" s="41">
        <v>0</v>
      </c>
      <c r="E18" s="41"/>
      <c r="F18" s="41">
        <v>65739</v>
      </c>
      <c r="H18" s="41"/>
      <c r="I18" s="674"/>
      <c r="K18" s="41"/>
      <c r="L18" s="41"/>
      <c r="M18" s="41"/>
      <c r="N18" s="41"/>
      <c r="O18" s="41"/>
    </row>
    <row r="19" spans="1:15">
      <c r="A19" s="856"/>
      <c r="B19" s="822"/>
      <c r="C19" s="822"/>
      <c r="D19" s="739">
        <f>SUM(D9:D18)</f>
        <v>101942817</v>
      </c>
      <c r="E19" s="822"/>
      <c r="F19" s="823">
        <f>SUM(F9:F18)</f>
        <v>87618644</v>
      </c>
      <c r="H19" s="41"/>
    </row>
    <row r="20" spans="1:15" ht="13.5" customHeight="1">
      <c r="A20" s="211"/>
      <c r="B20" s="673"/>
      <c r="C20" s="673"/>
      <c r="D20" s="673"/>
      <c r="E20" s="673"/>
      <c r="F20" s="674"/>
    </row>
    <row r="21" spans="1:15">
      <c r="A21" s="857" t="s">
        <v>15</v>
      </c>
      <c r="F21" s="220"/>
      <c r="L21" s="41"/>
      <c r="M21" s="41"/>
      <c r="N21" s="41"/>
    </row>
    <row r="22" spans="1:15">
      <c r="A22" s="214" t="s">
        <v>16</v>
      </c>
      <c r="D22" s="41">
        <v>29529805</v>
      </c>
      <c r="E22" s="41"/>
      <c r="F22" s="365">
        <v>20551419</v>
      </c>
      <c r="H22" s="41"/>
      <c r="L22" s="41"/>
      <c r="M22" s="41"/>
      <c r="N22" s="41"/>
    </row>
    <row r="23" spans="1:15">
      <c r="A23" s="214" t="s">
        <v>17</v>
      </c>
      <c r="D23" s="41">
        <v>16790</v>
      </c>
      <c r="E23" s="41"/>
      <c r="F23" s="365">
        <v>6172</v>
      </c>
      <c r="H23" s="41"/>
      <c r="L23" s="41"/>
      <c r="M23" s="41"/>
      <c r="N23" s="41"/>
    </row>
    <row r="24" spans="1:15">
      <c r="A24" s="214" t="s">
        <v>11</v>
      </c>
      <c r="D24" s="41">
        <v>1834731</v>
      </c>
      <c r="E24" s="41"/>
      <c r="F24" s="365">
        <v>2670390</v>
      </c>
      <c r="H24" s="41"/>
      <c r="L24" s="41"/>
      <c r="M24" s="41"/>
      <c r="N24" s="41"/>
    </row>
    <row r="25" spans="1:15">
      <c r="A25" s="214" t="s">
        <v>19</v>
      </c>
      <c r="D25" s="41">
        <v>3203062</v>
      </c>
      <c r="E25" s="41"/>
      <c r="F25" s="365">
        <v>1622694</v>
      </c>
      <c r="H25" s="41"/>
      <c r="L25" s="41"/>
      <c r="M25" s="41"/>
      <c r="N25" s="41"/>
    </row>
    <row r="26" spans="1:15">
      <c r="A26" s="214" t="s">
        <v>20</v>
      </c>
      <c r="D26" s="41">
        <v>34339</v>
      </c>
      <c r="E26" s="41"/>
      <c r="F26" s="365">
        <v>90302</v>
      </c>
      <c r="H26" s="41"/>
      <c r="L26" s="41"/>
      <c r="M26" s="41"/>
      <c r="N26" s="41"/>
    </row>
    <row r="27" spans="1:15">
      <c r="A27" s="214" t="s">
        <v>12</v>
      </c>
      <c r="D27" s="41">
        <v>2077391</v>
      </c>
      <c r="E27" s="41"/>
      <c r="F27" s="365">
        <v>1713117</v>
      </c>
      <c r="H27" s="41"/>
      <c r="L27" s="41"/>
      <c r="M27" s="41"/>
      <c r="N27" s="41"/>
    </row>
    <row r="28" spans="1:15">
      <c r="A28" s="214" t="s">
        <v>22</v>
      </c>
      <c r="D28" s="41">
        <v>1054021</v>
      </c>
      <c r="E28" s="41"/>
      <c r="F28" s="365">
        <v>5944758</v>
      </c>
      <c r="H28" s="41"/>
      <c r="L28" s="41"/>
      <c r="M28" s="41"/>
      <c r="N28" s="41"/>
    </row>
    <row r="29" spans="1:15">
      <c r="A29" s="214" t="s">
        <v>24</v>
      </c>
      <c r="D29" s="41">
        <v>6178753</v>
      </c>
      <c r="E29" s="41"/>
      <c r="F29" s="616">
        <v>18584585</v>
      </c>
      <c r="H29" s="41"/>
    </row>
    <row r="30" spans="1:15">
      <c r="A30" s="856"/>
      <c r="B30" s="822"/>
      <c r="C30" s="822"/>
      <c r="D30" s="739">
        <f>SUM(D22:D29)</f>
        <v>43928892</v>
      </c>
      <c r="E30" s="822"/>
      <c r="F30" s="823">
        <f>SUM(F21:F29)</f>
        <v>51183437</v>
      </c>
    </row>
    <row r="31" spans="1:15">
      <c r="A31" s="211"/>
      <c r="B31" s="673"/>
      <c r="C31" s="673"/>
      <c r="D31" s="673"/>
      <c r="E31" s="673"/>
      <c r="F31" s="674"/>
    </row>
    <row r="32" spans="1:15">
      <c r="A32" s="858" t="s">
        <v>25</v>
      </c>
      <c r="B32" s="612"/>
      <c r="C32" s="612"/>
      <c r="D32" s="824">
        <v>27658</v>
      </c>
      <c r="E32" s="824"/>
      <c r="F32" s="824">
        <v>28593</v>
      </c>
    </row>
    <row r="33" spans="1:11">
      <c r="A33" s="858"/>
      <c r="B33" s="612"/>
      <c r="C33" s="612"/>
      <c r="D33" s="827">
        <f>D32+D30</f>
        <v>43956550</v>
      </c>
      <c r="E33" s="612"/>
      <c r="F33" s="827">
        <f>F32+F30</f>
        <v>51212030</v>
      </c>
    </row>
    <row r="34" spans="1:11" ht="13.5" thickBot="1">
      <c r="A34" s="859" t="s">
        <v>3197</v>
      </c>
      <c r="B34" s="213"/>
      <c r="C34" s="213"/>
      <c r="D34" s="42">
        <f>D32+D30+D19</f>
        <v>145899367</v>
      </c>
      <c r="E34" s="137"/>
      <c r="F34" s="677">
        <f>F32+F30+F19</f>
        <v>138830674</v>
      </c>
    </row>
    <row r="35" spans="1:11" ht="13.5" thickTop="1">
      <c r="F35" s="220"/>
    </row>
    <row r="36" spans="1:11">
      <c r="A36" s="854" t="s">
        <v>27</v>
      </c>
      <c r="F36" s="220"/>
      <c r="G36" s="673"/>
    </row>
    <row r="37" spans="1:11">
      <c r="A37" s="214" t="s">
        <v>28</v>
      </c>
      <c r="D37" s="41">
        <v>83565883</v>
      </c>
      <c r="E37" s="41"/>
      <c r="F37" s="365">
        <v>83565883</v>
      </c>
      <c r="G37" s="673"/>
    </row>
    <row r="38" spans="1:11">
      <c r="A38" s="214" t="s">
        <v>29</v>
      </c>
      <c r="D38" s="870">
        <v>-37928202</v>
      </c>
      <c r="E38" s="41"/>
      <c r="F38" s="870">
        <v>-61531496</v>
      </c>
      <c r="G38" s="673"/>
    </row>
    <row r="39" spans="1:11">
      <c r="A39" s="856"/>
      <c r="B39" s="822"/>
      <c r="C39" s="822"/>
      <c r="D39" s="739">
        <f>SUM(D37:D38)</f>
        <v>45637681</v>
      </c>
      <c r="E39" s="822"/>
      <c r="F39" s="823">
        <f>SUM(F37:F38)</f>
        <v>22034387</v>
      </c>
      <c r="G39" s="673"/>
      <c r="H39" s="41"/>
    </row>
    <row r="40" spans="1:11">
      <c r="A40" s="211"/>
      <c r="B40" s="673"/>
      <c r="C40" s="673"/>
      <c r="D40" s="673"/>
      <c r="E40" s="673"/>
      <c r="F40" s="120"/>
      <c r="G40" s="673"/>
    </row>
    <row r="41" spans="1:11">
      <c r="A41" s="854" t="s">
        <v>30</v>
      </c>
      <c r="F41" s="220"/>
      <c r="G41" s="673"/>
      <c r="I41" s="41"/>
      <c r="J41" s="41"/>
      <c r="K41" s="41"/>
    </row>
    <row r="42" spans="1:11">
      <c r="A42" s="214" t="s">
        <v>31</v>
      </c>
      <c r="D42" s="41">
        <v>39783561</v>
      </c>
      <c r="E42" s="41"/>
      <c r="F42" s="365">
        <v>57656279</v>
      </c>
      <c r="G42" s="673"/>
      <c r="I42" s="41"/>
      <c r="J42" s="41"/>
      <c r="K42" s="41"/>
    </row>
    <row r="43" spans="1:11">
      <c r="A43" s="214" t="s">
        <v>32</v>
      </c>
      <c r="D43" s="41">
        <v>29938</v>
      </c>
      <c r="E43" s="41"/>
      <c r="F43" s="365">
        <v>207086</v>
      </c>
      <c r="G43" s="673"/>
      <c r="I43" s="41"/>
      <c r="J43" s="41"/>
      <c r="K43" s="41"/>
    </row>
    <row r="44" spans="1:11">
      <c r="A44" s="214" t="s">
        <v>2963</v>
      </c>
      <c r="D44" s="41">
        <v>5788759</v>
      </c>
      <c r="E44" s="41"/>
      <c r="F44" s="365">
        <v>5788759</v>
      </c>
      <c r="G44" s="673"/>
      <c r="I44" s="41"/>
      <c r="J44" s="41"/>
      <c r="K44" s="41"/>
    </row>
    <row r="45" spans="1:11">
      <c r="A45" s="214" t="s">
        <v>40</v>
      </c>
      <c r="D45" s="41">
        <v>816672</v>
      </c>
      <c r="E45" s="41"/>
      <c r="F45" s="365">
        <v>768368</v>
      </c>
      <c r="G45" s="673"/>
      <c r="I45" s="41"/>
      <c r="J45" s="41"/>
      <c r="K45" s="41"/>
    </row>
    <row r="46" spans="1:11">
      <c r="A46" s="214" t="s">
        <v>33</v>
      </c>
      <c r="D46" s="41">
        <v>1419882</v>
      </c>
      <c r="E46" s="41"/>
      <c r="F46" s="365">
        <v>1438695</v>
      </c>
      <c r="G46" s="673"/>
      <c r="I46" s="41"/>
      <c r="J46" s="41"/>
      <c r="K46" s="41"/>
    </row>
    <row r="47" spans="1:11">
      <c r="A47" s="214" t="s">
        <v>34</v>
      </c>
      <c r="D47" s="41">
        <v>11126351</v>
      </c>
      <c r="E47" s="41"/>
      <c r="F47" s="365">
        <v>9263762</v>
      </c>
      <c r="G47" s="673"/>
      <c r="I47" s="41"/>
      <c r="J47" s="41"/>
      <c r="K47" s="41"/>
    </row>
    <row r="48" spans="1:11">
      <c r="A48" s="214" t="s">
        <v>393</v>
      </c>
      <c r="D48" s="41">
        <v>52931</v>
      </c>
      <c r="E48" s="41"/>
      <c r="F48" s="365">
        <v>52931</v>
      </c>
      <c r="G48" s="673"/>
    </row>
    <row r="49" spans="1:13">
      <c r="A49" s="856"/>
      <c r="B49" s="822"/>
      <c r="C49" s="822"/>
      <c r="D49" s="739">
        <f>SUM(D42:D48)</f>
        <v>59018094</v>
      </c>
      <c r="E49" s="822"/>
      <c r="F49" s="823">
        <f>SUM(F42:F48)</f>
        <v>75175880</v>
      </c>
      <c r="G49" s="673"/>
    </row>
    <row r="50" spans="1:13">
      <c r="A50" s="211"/>
      <c r="B50" s="673"/>
      <c r="C50" s="673"/>
      <c r="D50" s="673"/>
      <c r="E50" s="673"/>
      <c r="F50" s="674"/>
      <c r="G50" s="673"/>
    </row>
    <row r="51" spans="1:13">
      <c r="A51" s="854" t="s">
        <v>36</v>
      </c>
      <c r="F51" s="220"/>
      <c r="G51" s="673"/>
      <c r="I51" s="41"/>
      <c r="J51" s="41"/>
      <c r="K51" s="41"/>
      <c r="L51" s="41"/>
      <c r="M51" s="41"/>
    </row>
    <row r="52" spans="1:13">
      <c r="A52" s="214" t="s">
        <v>37</v>
      </c>
      <c r="D52" s="41">
        <v>15457945</v>
      </c>
      <c r="E52" s="41"/>
      <c r="F52" s="365">
        <v>15273799</v>
      </c>
      <c r="G52" s="673"/>
      <c r="I52" s="41"/>
      <c r="J52" s="41"/>
      <c r="K52" s="41"/>
      <c r="L52" s="41"/>
      <c r="M52" s="41"/>
    </row>
    <row r="53" spans="1:13">
      <c r="A53" s="214" t="s">
        <v>38</v>
      </c>
      <c r="D53" s="41">
        <v>11566457</v>
      </c>
      <c r="E53" s="41"/>
      <c r="F53" s="365">
        <v>12679729</v>
      </c>
      <c r="G53" s="673"/>
      <c r="I53" s="41"/>
      <c r="J53" s="41"/>
      <c r="K53" s="41"/>
      <c r="L53" s="41"/>
      <c r="M53" s="41"/>
    </row>
    <row r="54" spans="1:13">
      <c r="A54" s="214" t="s">
        <v>2962</v>
      </c>
      <c r="D54" s="41">
        <v>4223472</v>
      </c>
      <c r="E54" s="41"/>
      <c r="F54" s="365">
        <v>6388075</v>
      </c>
      <c r="G54" s="673"/>
      <c r="I54" s="41"/>
      <c r="J54" s="41"/>
      <c r="K54" s="41"/>
      <c r="L54" s="41"/>
      <c r="M54" s="41"/>
    </row>
    <row r="55" spans="1:13">
      <c r="A55" s="214" t="s">
        <v>39</v>
      </c>
      <c r="D55" s="41">
        <v>6091659</v>
      </c>
      <c r="E55" s="41"/>
      <c r="F55" s="365">
        <v>5935263</v>
      </c>
      <c r="G55" s="673"/>
      <c r="I55" s="41"/>
      <c r="J55" s="41"/>
      <c r="K55" s="41"/>
      <c r="L55" s="41"/>
      <c r="M55" s="41"/>
    </row>
    <row r="56" spans="1:13">
      <c r="A56" s="214" t="s">
        <v>2981</v>
      </c>
      <c r="D56" s="41">
        <v>2235269</v>
      </c>
      <c r="E56" s="41"/>
      <c r="F56" s="365">
        <v>152620</v>
      </c>
      <c r="G56" s="673"/>
      <c r="I56" s="41"/>
      <c r="J56" s="41"/>
      <c r="K56" s="41"/>
      <c r="L56" s="41"/>
      <c r="M56" s="41"/>
    </row>
    <row r="57" spans="1:13">
      <c r="A57" s="214" t="s">
        <v>390</v>
      </c>
      <c r="D57" s="41">
        <v>47283</v>
      </c>
      <c r="E57" s="41"/>
      <c r="F57" s="365">
        <v>57412</v>
      </c>
      <c r="G57" s="673"/>
      <c r="I57" s="41"/>
      <c r="J57" s="41"/>
      <c r="K57" s="41"/>
      <c r="L57" s="41"/>
      <c r="M57" s="41"/>
    </row>
    <row r="58" spans="1:13">
      <c r="A58" s="214" t="s">
        <v>35</v>
      </c>
      <c r="D58" s="41">
        <v>1621507</v>
      </c>
      <c r="E58" s="41"/>
      <c r="F58" s="365">
        <v>1133509</v>
      </c>
      <c r="G58" s="673"/>
    </row>
    <row r="59" spans="1:13">
      <c r="A59" s="856"/>
      <c r="B59" s="822"/>
      <c r="C59" s="822"/>
      <c r="D59" s="739">
        <f>SUM(D52:D58)</f>
        <v>41243592</v>
      </c>
      <c r="E59" s="822"/>
      <c r="F59" s="823">
        <f>SUM(F51:F58)</f>
        <v>41620407</v>
      </c>
      <c r="G59" s="673"/>
    </row>
    <row r="60" spans="1:13">
      <c r="A60" s="211"/>
      <c r="B60" s="673"/>
      <c r="C60" s="673"/>
      <c r="D60" s="673"/>
      <c r="E60" s="673"/>
      <c r="F60" s="674"/>
      <c r="G60" s="673"/>
    </row>
    <row r="61" spans="1:13">
      <c r="A61" s="854" t="s">
        <v>41</v>
      </c>
      <c r="D61" s="121">
        <f>D59+D49</f>
        <v>100261686</v>
      </c>
      <c r="E61" s="41"/>
      <c r="F61" s="121">
        <f>F59+F49</f>
        <v>116796287</v>
      </c>
      <c r="G61" s="673"/>
    </row>
    <row r="62" spans="1:13" ht="13.5" thickBot="1">
      <c r="A62" s="859" t="s">
        <v>42</v>
      </c>
      <c r="B62" s="213"/>
      <c r="C62" s="213"/>
      <c r="D62" s="677">
        <f>D61+D39</f>
        <v>145899367</v>
      </c>
      <c r="E62" s="137"/>
      <c r="F62" s="677">
        <f>F61+F39</f>
        <v>138830674</v>
      </c>
      <c r="G62" s="673"/>
    </row>
    <row r="63" spans="1:13" ht="13.5" thickTop="1">
      <c r="D63" s="41"/>
      <c r="F63" s="41"/>
    </row>
    <row r="64" spans="1:13" ht="15">
      <c r="A64" s="838" t="s">
        <v>3185</v>
      </c>
      <c r="B64" s="1" t="s">
        <v>3186</v>
      </c>
      <c r="C64" s="1"/>
      <c r="D64" s="934">
        <v>397</v>
      </c>
      <c r="E64" s="675"/>
      <c r="F64" s="839">
        <v>187</v>
      </c>
      <c r="G64" s="628"/>
      <c r="H64" s="68"/>
      <c r="I64" s="68"/>
      <c r="J64" s="68"/>
      <c r="K64" s="68"/>
      <c r="L64" s="68"/>
    </row>
    <row r="65" spans="1:12" ht="15">
      <c r="A65" s="840"/>
      <c r="D65" s="157"/>
      <c r="F65" s="157"/>
      <c r="G65" s="628"/>
      <c r="H65" s="68"/>
      <c r="I65" s="68"/>
      <c r="J65" s="68"/>
      <c r="K65" s="68"/>
      <c r="L65" s="68"/>
    </row>
    <row r="66" spans="1:12" ht="15">
      <c r="A66" s="840"/>
      <c r="D66" s="157"/>
      <c r="F66" s="157"/>
      <c r="G66" s="628"/>
      <c r="H66" s="68"/>
      <c r="I66" s="68"/>
      <c r="J66" s="68"/>
      <c r="K66" s="68"/>
      <c r="L66" s="68"/>
    </row>
    <row r="67" spans="1:12" ht="15">
      <c r="A67" s="840"/>
      <c r="D67" s="157"/>
      <c r="F67" s="157"/>
      <c r="G67" s="628"/>
      <c r="H67" s="68"/>
      <c r="I67" s="68"/>
      <c r="J67" s="68"/>
      <c r="K67" s="68"/>
      <c r="L67" s="68"/>
    </row>
    <row r="68" spans="1:12" ht="15.75" thickBot="1">
      <c r="A68" s="840" t="s">
        <v>3181</v>
      </c>
      <c r="D68" s="931"/>
      <c r="F68" s="890"/>
      <c r="G68" s="628"/>
      <c r="H68" s="673"/>
      <c r="I68" s="673"/>
      <c r="J68" s="673"/>
      <c r="K68" s="673"/>
      <c r="L68" s="673"/>
    </row>
    <row r="69" spans="1:12">
      <c r="A69" s="840"/>
      <c r="D69" s="41"/>
      <c r="F69" s="835" t="s">
        <v>3182</v>
      </c>
      <c r="G69" s="650"/>
      <c r="H69" s="68"/>
      <c r="I69" s="68"/>
      <c r="J69" s="68"/>
      <c r="K69" s="68"/>
      <c r="L69" s="68"/>
    </row>
    <row r="70" spans="1:12">
      <c r="A70" s="840"/>
      <c r="F70" s="837"/>
      <c r="G70" s="628"/>
      <c r="H70" s="68"/>
      <c r="I70" s="68"/>
      <c r="J70" s="68"/>
      <c r="K70" s="68"/>
      <c r="L70" s="68"/>
    </row>
    <row r="71" spans="1:12" ht="15.75" thickBot="1">
      <c r="A71" s="840" t="s">
        <v>3183</v>
      </c>
      <c r="D71" s="154"/>
      <c r="F71" s="836"/>
      <c r="G71" s="628"/>
      <c r="H71" s="68"/>
      <c r="I71" s="68"/>
      <c r="J71" s="68"/>
      <c r="K71" s="68"/>
      <c r="L71" s="68"/>
    </row>
    <row r="72" spans="1:12" ht="15">
      <c r="A72" s="840"/>
      <c r="D72" s="154"/>
      <c r="F72" s="835" t="s">
        <v>3184</v>
      </c>
      <c r="G72" s="628"/>
      <c r="H72" s="68"/>
      <c r="I72" s="68"/>
      <c r="J72" s="68"/>
      <c r="K72" s="68"/>
      <c r="L72" s="68"/>
    </row>
    <row r="73" spans="1:12" ht="15">
      <c r="A73" s="145"/>
      <c r="B73" s="26"/>
      <c r="C73"/>
      <c r="D73" s="154"/>
      <c r="E73"/>
      <c r="G73" s="628"/>
      <c r="H73" s="68"/>
      <c r="I73" s="68"/>
      <c r="J73" s="68"/>
      <c r="K73" s="68"/>
      <c r="L73" s="68"/>
    </row>
    <row r="74" spans="1:12">
      <c r="G74" s="628"/>
      <c r="H74" s="68"/>
      <c r="I74" s="68"/>
      <c r="J74" s="68"/>
      <c r="K74" s="68"/>
      <c r="L74" s="68"/>
    </row>
    <row r="75" spans="1:12">
      <c r="G75" s="628"/>
      <c r="H75" s="68"/>
      <c r="I75" s="68"/>
      <c r="J75" s="68"/>
      <c r="K75" s="68"/>
      <c r="L75" s="68"/>
    </row>
    <row r="76" spans="1:12">
      <c r="G76" s="628"/>
      <c r="H76" s="68"/>
      <c r="I76" s="68"/>
      <c r="J76" s="68"/>
      <c r="K76" s="68"/>
      <c r="L76" s="68"/>
    </row>
    <row r="77" spans="1:12">
      <c r="G77" s="628"/>
      <c r="H77" s="673"/>
      <c r="I77" s="673"/>
      <c r="J77" s="673"/>
      <c r="K77" s="673"/>
      <c r="L77" s="673"/>
    </row>
    <row r="78" spans="1:12">
      <c r="G78" s="628"/>
      <c r="H78" s="68"/>
      <c r="I78" s="68"/>
      <c r="J78" s="68"/>
      <c r="K78" s="68"/>
      <c r="L78" s="68"/>
    </row>
    <row r="79" spans="1:12">
      <c r="G79" s="628"/>
      <c r="H79" s="68"/>
      <c r="I79" s="68"/>
      <c r="J79" s="68"/>
      <c r="K79" s="68"/>
      <c r="L79" s="68"/>
    </row>
    <row r="80" spans="1:12">
      <c r="G80" s="673"/>
      <c r="H80" s="673"/>
      <c r="I80" s="673"/>
      <c r="J80" s="673"/>
      <c r="K80" s="673"/>
      <c r="L80" s="673"/>
    </row>
    <row r="81" spans="4:12">
      <c r="F81" s="673"/>
      <c r="G81" s="673"/>
      <c r="H81" s="673"/>
      <c r="I81" s="673"/>
      <c r="J81" s="673"/>
      <c r="K81" s="673"/>
      <c r="L81" s="673"/>
    </row>
    <row r="82" spans="4:12">
      <c r="D82" s="41"/>
      <c r="F82" s="65"/>
      <c r="H82" s="673"/>
      <c r="I82" s="673"/>
      <c r="J82" s="673"/>
      <c r="K82" s="673"/>
      <c r="L82" s="673"/>
    </row>
    <row r="83" spans="4:12">
      <c r="F83" s="65"/>
      <c r="H83" s="673"/>
      <c r="I83" s="673"/>
      <c r="J83" s="673"/>
      <c r="K83" s="673"/>
      <c r="L83" s="673"/>
    </row>
    <row r="84" spans="4:12">
      <c r="F84" s="673"/>
      <c r="H84" s="673"/>
      <c r="I84" s="673"/>
      <c r="J84" s="673"/>
      <c r="K84" s="673"/>
      <c r="L84" s="673"/>
    </row>
    <row r="85" spans="4:12">
      <c r="E85" s="41"/>
      <c r="H85" s="673"/>
      <c r="I85" s="673"/>
      <c r="J85" s="673"/>
      <c r="K85" s="673"/>
      <c r="L85" s="673"/>
    </row>
    <row r="86" spans="4:12">
      <c r="F86" s="253"/>
      <c r="H86" s="673"/>
      <c r="I86" s="673"/>
      <c r="J86" s="673"/>
      <c r="K86" s="673"/>
      <c r="L86" s="673"/>
    </row>
    <row r="87" spans="4:12">
      <c r="H87" s="673"/>
      <c r="I87" s="673"/>
      <c r="J87" s="673"/>
      <c r="K87" s="673"/>
      <c r="L87" s="673"/>
    </row>
    <row r="88" spans="4:12">
      <c r="G88" s="214"/>
      <c r="H88" s="673"/>
      <c r="I88" s="673"/>
      <c r="J88" s="673"/>
      <c r="K88" s="673"/>
      <c r="L88" s="673"/>
    </row>
    <row r="89" spans="4:12" s="214" customFormat="1">
      <c r="E89" s="634"/>
      <c r="G89" s="2"/>
      <c r="H89" s="211"/>
      <c r="I89" s="211"/>
      <c r="J89" s="211"/>
      <c r="K89" s="211"/>
      <c r="L89" s="211"/>
    </row>
    <row r="90" spans="4:12">
      <c r="E90" s="1"/>
      <c r="F90" s="41"/>
      <c r="H90" s="673"/>
      <c r="I90" s="673"/>
      <c r="J90" s="673"/>
      <c r="K90" s="673"/>
      <c r="L90" s="673"/>
    </row>
    <row r="91" spans="4:12">
      <c r="E91" s="1"/>
      <c r="F91" s="41"/>
      <c r="H91" s="673"/>
      <c r="I91" s="673"/>
      <c r="J91" s="673"/>
      <c r="K91" s="673"/>
      <c r="L91" s="673"/>
    </row>
    <row r="92" spans="4:12">
      <c r="H92" s="673"/>
      <c r="I92" s="673"/>
      <c r="J92" s="673"/>
      <c r="K92" s="673"/>
      <c r="L92" s="673"/>
    </row>
    <row r="93" spans="4:12">
      <c r="H93" s="673"/>
      <c r="I93" s="673"/>
      <c r="J93" s="673"/>
      <c r="K93" s="673"/>
      <c r="L93" s="673"/>
    </row>
    <row r="94" spans="4:12">
      <c r="F94" s="674"/>
      <c r="H94" s="673"/>
      <c r="I94" s="673"/>
      <c r="J94" s="673"/>
      <c r="K94" s="673"/>
      <c r="L94" s="673"/>
    </row>
    <row r="95" spans="4:12">
      <c r="F95" s="674"/>
    </row>
    <row r="96" spans="4:12">
      <c r="E96" s="673"/>
      <c r="F96" s="674"/>
    </row>
    <row r="97" spans="5:6">
      <c r="E97" s="673"/>
      <c r="F97" s="674"/>
    </row>
    <row r="98" spans="5:6">
      <c r="E98" s="673"/>
      <c r="F98" s="674"/>
    </row>
    <row r="99" spans="5:6">
      <c r="E99" s="673"/>
      <c r="F99" s="674"/>
    </row>
    <row r="100" spans="5:6">
      <c r="E100" s="673"/>
      <c r="F100" s="674"/>
    </row>
    <row r="101" spans="5:6">
      <c r="E101" s="673"/>
      <c r="F101" s="120"/>
    </row>
    <row r="102" spans="5:6">
      <c r="E102" s="673"/>
      <c r="F102" s="674"/>
    </row>
    <row r="103" spans="5:6">
      <c r="E103" s="673"/>
      <c r="F103" s="674"/>
    </row>
    <row r="104" spans="5:6">
      <c r="E104" s="673"/>
      <c r="F104" s="674"/>
    </row>
    <row r="105" spans="5:6">
      <c r="E105" s="673"/>
      <c r="F105" s="674"/>
    </row>
    <row r="106" spans="5:6">
      <c r="E106" s="673"/>
      <c r="F106" s="674"/>
    </row>
    <row r="107" spans="5:6">
      <c r="E107" s="673"/>
      <c r="F107" s="674"/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7" zoomScaleNormal="100" workbookViewId="0">
      <selection activeCell="F68" sqref="F68"/>
    </sheetView>
  </sheetViews>
  <sheetFormatPr defaultColWidth="9.140625" defaultRowHeight="12.75"/>
  <cols>
    <col min="1" max="1" width="58.7109375" style="818" customWidth="1"/>
    <col min="2" max="2" width="20.5703125" style="482" customWidth="1"/>
    <col min="3" max="3" width="0.28515625" style="482" customWidth="1"/>
    <col min="4" max="4" width="19.28515625" style="482" customWidth="1"/>
    <col min="5" max="5" width="12.140625" style="482" customWidth="1"/>
    <col min="6" max="6" width="23.28515625" style="482" customWidth="1"/>
    <col min="7" max="7" width="17.7109375" style="482" customWidth="1"/>
    <col min="8" max="8" width="39.140625" style="482" customWidth="1"/>
    <col min="9" max="9" width="11.42578125" style="482" bestFit="1" customWidth="1"/>
    <col min="10" max="16384" width="9.140625" style="482"/>
  </cols>
  <sheetData>
    <row r="1" spans="1:6">
      <c r="A1" s="819" t="s">
        <v>3192</v>
      </c>
    </row>
    <row r="2" spans="1:6" ht="27.75" customHeight="1">
      <c r="B2" s="482" t="s">
        <v>3189</v>
      </c>
    </row>
    <row r="3" spans="1:6" ht="57.75" customHeight="1">
      <c r="A3" s="982" t="s">
        <v>3207</v>
      </c>
      <c r="B3" s="982"/>
    </row>
    <row r="4" spans="1:6" ht="20.25" customHeight="1"/>
    <row r="5" spans="1:6" ht="22.5" customHeight="1">
      <c r="D5" s="690"/>
    </row>
    <row r="6" spans="1:6" ht="38.25" customHeight="1">
      <c r="A6" s="846" t="s">
        <v>2520</v>
      </c>
      <c r="B6" s="844" t="s">
        <v>3205</v>
      </c>
      <c r="D6" s="844" t="s">
        <v>3206</v>
      </c>
    </row>
    <row r="7" spans="1:6">
      <c r="A7" s="636"/>
      <c r="B7" s="845"/>
      <c r="D7" s="845"/>
    </row>
    <row r="8" spans="1:6">
      <c r="A8" s="819" t="s">
        <v>2471</v>
      </c>
      <c r="D8" s="690"/>
    </row>
    <row r="9" spans="1:6" s="484" customFormat="1">
      <c r="A9" s="818" t="s">
        <v>3176</v>
      </c>
      <c r="B9" s="878">
        <v>26849731</v>
      </c>
      <c r="C9" s="482"/>
      <c r="D9" s="690">
        <v>7861312</v>
      </c>
    </row>
    <row r="10" spans="1:6" s="484" customFormat="1">
      <c r="A10" s="818"/>
      <c r="B10" s="878"/>
      <c r="C10" s="482"/>
      <c r="D10" s="690"/>
    </row>
    <row r="11" spans="1:6" s="484" customFormat="1">
      <c r="A11" s="819" t="s">
        <v>2472</v>
      </c>
      <c r="B11" s="878"/>
      <c r="C11" s="482"/>
      <c r="D11" s="690"/>
    </row>
    <row r="12" spans="1:6">
      <c r="A12" s="818" t="s">
        <v>2473</v>
      </c>
      <c r="B12" s="879">
        <v>5975512</v>
      </c>
      <c r="D12" s="690">
        <v>4795121</v>
      </c>
    </row>
    <row r="13" spans="1:6" ht="25.5">
      <c r="A13" s="818" t="s">
        <v>3210</v>
      </c>
      <c r="B13" s="871">
        <v>-8837</v>
      </c>
      <c r="D13" s="871">
        <v>-40531</v>
      </c>
    </row>
    <row r="14" spans="1:6">
      <c r="A14" s="818" t="s">
        <v>358</v>
      </c>
      <c r="B14" s="880">
        <v>7846228</v>
      </c>
      <c r="D14" s="690">
        <v>5774948</v>
      </c>
    </row>
    <row r="15" spans="1:6">
      <c r="A15" s="818" t="s">
        <v>357</v>
      </c>
      <c r="B15" s="871">
        <v>-123381</v>
      </c>
      <c r="D15" s="871">
        <v>-72429</v>
      </c>
      <c r="F15" s="484"/>
    </row>
    <row r="16" spans="1:6">
      <c r="A16" s="818" t="s">
        <v>2517</v>
      </c>
      <c r="B16" s="880">
        <v>280433</v>
      </c>
      <c r="D16" s="690">
        <v>2550848</v>
      </c>
    </row>
    <row r="17" spans="1:9">
      <c r="A17" s="818" t="s">
        <v>2474</v>
      </c>
      <c r="B17" s="879">
        <v>21634</v>
      </c>
      <c r="D17" s="933">
        <v>0</v>
      </c>
    </row>
    <row r="18" spans="1:9">
      <c r="A18" s="484" t="s">
        <v>3209</v>
      </c>
      <c r="B18" s="933">
        <v>0</v>
      </c>
      <c r="D18" s="871">
        <v>-17397</v>
      </c>
    </row>
    <row r="19" spans="1:9" ht="26.25">
      <c r="A19" s="818" t="s">
        <v>2475</v>
      </c>
      <c r="B19" s="871">
        <v>-120793</v>
      </c>
      <c r="D19" s="871">
        <v>-577465</v>
      </c>
      <c r="E19" s="5"/>
    </row>
    <row r="20" spans="1:9" ht="15">
      <c r="A20" s="818" t="s">
        <v>3234</v>
      </c>
      <c r="B20" s="933">
        <v>0</v>
      </c>
      <c r="D20" s="871">
        <v>44125</v>
      </c>
      <c r="E20" s="5"/>
    </row>
    <row r="21" spans="1:9">
      <c r="A21" s="818" t="s">
        <v>2130</v>
      </c>
      <c r="B21" s="881">
        <v>704200</v>
      </c>
      <c r="C21" s="862"/>
      <c r="D21" s="862">
        <v>370676</v>
      </c>
    </row>
    <row r="22" spans="1:9">
      <c r="B22" s="878"/>
      <c r="D22" s="690"/>
    </row>
    <row r="23" spans="1:9">
      <c r="B23" s="882">
        <f>SUM(B9:B21)</f>
        <v>41424727</v>
      </c>
      <c r="C23" s="690"/>
      <c r="D23" s="630">
        <f>SUM(D9:D21)</f>
        <v>20689208</v>
      </c>
      <c r="I23" s="631"/>
    </row>
    <row r="24" spans="1:9">
      <c r="B24" s="878"/>
      <c r="D24" s="690"/>
      <c r="I24" s="631"/>
    </row>
    <row r="25" spans="1:9">
      <c r="A25" s="819" t="s">
        <v>2476</v>
      </c>
      <c r="B25" s="878"/>
      <c r="D25" s="690"/>
      <c r="I25" s="631"/>
    </row>
    <row r="26" spans="1:9">
      <c r="A26" s="818" t="s">
        <v>2477</v>
      </c>
      <c r="B26" s="880">
        <v>-9857072</v>
      </c>
      <c r="C26" s="872"/>
      <c r="D26" s="873">
        <v>-5291957</v>
      </c>
      <c r="I26" s="631"/>
    </row>
    <row r="27" spans="1:9">
      <c r="A27" s="818" t="s">
        <v>2478</v>
      </c>
      <c r="B27" s="880">
        <v>1472882</v>
      </c>
      <c r="D27" s="873">
        <v>-2470110</v>
      </c>
      <c r="I27" s="631"/>
    </row>
    <row r="28" spans="1:9" ht="12.75" customHeight="1">
      <c r="A28" s="818" t="s">
        <v>2479</v>
      </c>
      <c r="B28" s="880">
        <v>-1595324</v>
      </c>
      <c r="D28" s="873">
        <v>-760507</v>
      </c>
      <c r="I28" s="631"/>
    </row>
    <row r="29" spans="1:9" ht="12.75" customHeight="1">
      <c r="A29" s="818" t="s">
        <v>2480</v>
      </c>
      <c r="B29" s="880">
        <v>55963</v>
      </c>
      <c r="D29" s="873">
        <v>36010</v>
      </c>
      <c r="I29" s="631"/>
    </row>
    <row r="30" spans="1:9" ht="12.75" customHeight="1">
      <c r="A30" s="818" t="s">
        <v>2515</v>
      </c>
      <c r="B30" s="880">
        <v>-290741</v>
      </c>
      <c r="D30" s="873">
        <v>-1210431</v>
      </c>
      <c r="I30" s="631"/>
    </row>
    <row r="31" spans="1:9">
      <c r="A31" s="818" t="s">
        <v>2481</v>
      </c>
      <c r="B31" s="880">
        <v>-420974</v>
      </c>
      <c r="D31" s="873">
        <v>3030029</v>
      </c>
    </row>
    <row r="32" spans="1:9">
      <c r="A32" s="818" t="s">
        <v>2482</v>
      </c>
      <c r="B32" s="880">
        <v>156356</v>
      </c>
      <c r="C32" s="872"/>
      <c r="D32" s="873">
        <v>-8755577</v>
      </c>
    </row>
    <row r="33" spans="1:4">
      <c r="A33" s="818" t="s">
        <v>3175</v>
      </c>
      <c r="B33" s="892">
        <v>-2164603</v>
      </c>
      <c r="C33" s="862"/>
      <c r="D33" s="891">
        <v>11634082</v>
      </c>
    </row>
    <row r="34" spans="1:4">
      <c r="B34" s="878"/>
      <c r="D34" s="690"/>
    </row>
    <row r="35" spans="1:4">
      <c r="A35" s="819" t="s">
        <v>3195</v>
      </c>
      <c r="B35" s="882">
        <f>SUM(B23:B33)</f>
        <v>28781214</v>
      </c>
      <c r="C35" s="690"/>
      <c r="D35" s="882">
        <f>SUM(D23:D33)</f>
        <v>16900747</v>
      </c>
    </row>
    <row r="36" spans="1:4">
      <c r="B36" s="878"/>
      <c r="D36" s="690"/>
    </row>
    <row r="37" spans="1:4">
      <c r="A37" s="818" t="s">
        <v>2483</v>
      </c>
      <c r="B37" s="883">
        <v>-685307</v>
      </c>
      <c r="C37" s="872"/>
      <c r="D37" s="871">
        <v>-109211</v>
      </c>
    </row>
    <row r="38" spans="1:4">
      <c r="A38" s="818" t="s">
        <v>2485</v>
      </c>
      <c r="B38" s="879">
        <v>108024</v>
      </c>
      <c r="D38" s="871">
        <v>60604</v>
      </c>
    </row>
    <row r="40" spans="1:4">
      <c r="B40" s="878"/>
      <c r="D40" s="690"/>
    </row>
    <row r="41" spans="1:4" ht="13.5" thickBot="1">
      <c r="A41" s="819" t="s">
        <v>2486</v>
      </c>
      <c r="B41" s="884">
        <f>SUM(B35:B39)</f>
        <v>28203931</v>
      </c>
      <c r="C41" s="863"/>
      <c r="D41" s="884">
        <f>SUM(D35:D39)</f>
        <v>16852140</v>
      </c>
    </row>
    <row r="42" spans="1:4" ht="13.5" thickTop="1">
      <c r="B42" s="878"/>
      <c r="D42" s="690"/>
    </row>
    <row r="43" spans="1:4">
      <c r="B43" s="878"/>
      <c r="D43" s="690"/>
    </row>
    <row r="44" spans="1:4">
      <c r="A44" s="819" t="s">
        <v>2487</v>
      </c>
      <c r="B44" s="878"/>
      <c r="D44" s="690"/>
    </row>
    <row r="45" spans="1:4">
      <c r="A45" s="818" t="s">
        <v>2488</v>
      </c>
      <c r="B45" s="880">
        <v>-15233732</v>
      </c>
      <c r="C45" s="872"/>
      <c r="D45" s="871">
        <v>-10021314</v>
      </c>
    </row>
    <row r="46" spans="1:4">
      <c r="A46" s="818" t="s">
        <v>2946</v>
      </c>
      <c r="B46" s="880">
        <v>-142512</v>
      </c>
      <c r="C46" s="872"/>
      <c r="D46" s="871">
        <v>-78610</v>
      </c>
    </row>
    <row r="47" spans="1:4">
      <c r="A47" s="818" t="s">
        <v>2516</v>
      </c>
      <c r="B47" s="880">
        <v>124453</v>
      </c>
      <c r="D47" s="871">
        <v>1292</v>
      </c>
    </row>
    <row r="48" spans="1:4">
      <c r="A48" s="818" t="s">
        <v>2489</v>
      </c>
      <c r="B48" s="892">
        <v>115995</v>
      </c>
      <c r="C48" s="862"/>
      <c r="D48" s="864">
        <v>0</v>
      </c>
    </row>
    <row r="49" spans="1:4">
      <c r="B49" s="878"/>
      <c r="D49" s="690"/>
    </row>
    <row r="50" spans="1:4" ht="26.25" thickBot="1">
      <c r="A50" s="819" t="s">
        <v>2490</v>
      </c>
      <c r="B50" s="886">
        <f>SUM(B45:B48)</f>
        <v>-15135796</v>
      </c>
      <c r="C50" s="876"/>
      <c r="D50" s="875">
        <f>SUM(D45:D49)</f>
        <v>-10098632</v>
      </c>
    </row>
    <row r="51" spans="1:4" ht="13.5" thickTop="1">
      <c r="B51" s="878"/>
      <c r="D51" s="690"/>
    </row>
    <row r="52" spans="1:4">
      <c r="A52" s="819" t="s">
        <v>2491</v>
      </c>
      <c r="B52" s="878"/>
      <c r="D52" s="690"/>
    </row>
    <row r="53" spans="1:4">
      <c r="A53" s="818" t="s">
        <v>2492</v>
      </c>
      <c r="B53" s="885">
        <v>0</v>
      </c>
      <c r="C53" s="631"/>
      <c r="D53" s="817">
        <v>3365861</v>
      </c>
    </row>
    <row r="54" spans="1:4">
      <c r="A54" s="818" t="s">
        <v>2493</v>
      </c>
      <c r="B54" s="871">
        <v>-16539166</v>
      </c>
      <c r="C54" s="631"/>
      <c r="D54" s="871">
        <v>-5015967</v>
      </c>
    </row>
    <row r="55" spans="1:4">
      <c r="A55" s="818" t="s">
        <v>2494</v>
      </c>
      <c r="B55" s="871">
        <v>-224374</v>
      </c>
      <c r="C55" s="817"/>
      <c r="D55" s="871">
        <v>-220503</v>
      </c>
    </row>
    <row r="56" spans="1:4">
      <c r="A56" s="818" t="s">
        <v>2484</v>
      </c>
      <c r="B56" s="874">
        <v>-8508470</v>
      </c>
      <c r="C56" s="874"/>
      <c r="D56" s="874">
        <v>-1238048</v>
      </c>
    </row>
    <row r="57" spans="1:4" ht="13.5" thickBot="1">
      <c r="A57" s="819" t="s">
        <v>2495</v>
      </c>
      <c r="B57" s="932">
        <f>SUM(B53:B56)</f>
        <v>-25272010</v>
      </c>
      <c r="C57" s="863"/>
      <c r="D57" s="932">
        <f>SUM(D53:D56)</f>
        <v>-3108657</v>
      </c>
    </row>
    <row r="58" spans="1:4" ht="13.5" thickTop="1">
      <c r="B58" s="878"/>
    </row>
    <row r="59" spans="1:4">
      <c r="A59" s="818" t="s">
        <v>2496</v>
      </c>
      <c r="B59" s="887">
        <f>B57+B50+B41</f>
        <v>-12203875</v>
      </c>
      <c r="D59" s="483">
        <f>D57+D50+D41</f>
        <v>3644851</v>
      </c>
    </row>
    <row r="60" spans="1:4">
      <c r="B60" s="883"/>
      <c r="D60" s="690"/>
    </row>
    <row r="61" spans="1:4">
      <c r="A61" s="818" t="s">
        <v>2497</v>
      </c>
      <c r="B61" s="883">
        <v>-230752</v>
      </c>
      <c r="D61" s="877">
        <v>37987</v>
      </c>
    </row>
    <row r="62" spans="1:4">
      <c r="A62" s="818" t="s">
        <v>2974</v>
      </c>
      <c r="B62" s="878">
        <v>28795</v>
      </c>
      <c r="D62" s="877">
        <v>0</v>
      </c>
    </row>
    <row r="63" spans="1:4">
      <c r="A63" s="818" t="s">
        <v>2498</v>
      </c>
      <c r="B63" s="878">
        <v>18584585</v>
      </c>
      <c r="D63" s="690">
        <v>988389</v>
      </c>
    </row>
    <row r="64" spans="1:4" ht="13.5" thickBot="1">
      <c r="A64" s="818" t="s">
        <v>3208</v>
      </c>
      <c r="B64" s="888">
        <f>B63+B61+B59+B62</f>
        <v>6178753</v>
      </c>
      <c r="D64" s="507">
        <f>D63+D61+D59+D62</f>
        <v>4671227</v>
      </c>
    </row>
    <row r="65" spans="1:5" ht="12.75" customHeight="1" thickTop="1">
      <c r="A65" s="820"/>
      <c r="B65" s="547">
        <f>B64-ББ!D29</f>
        <v>0</v>
      </c>
      <c r="D65" s="547"/>
    </row>
    <row r="66" spans="1:5">
      <c r="D66" s="690"/>
    </row>
    <row r="67" spans="1:5">
      <c r="D67" s="690"/>
    </row>
    <row r="68" spans="1:5" ht="15.75" thickBot="1">
      <c r="A68" t="s">
        <v>3240</v>
      </c>
      <c r="B68" s="26"/>
      <c r="C68"/>
      <c r="D68" s="936"/>
      <c r="E68"/>
    </row>
    <row r="69" spans="1:5" ht="15.75" thickTop="1">
      <c r="A69"/>
      <c r="B69" s="26"/>
      <c r="C69"/>
      <c r="D69" s="154" t="s">
        <v>3241</v>
      </c>
      <c r="E69"/>
    </row>
    <row r="70" spans="1:5">
      <c r="A70" s="834"/>
      <c r="B70" s="2"/>
      <c r="C70" s="2"/>
      <c r="D70" s="977"/>
    </row>
    <row r="71" spans="1:5">
      <c r="A71" s="935"/>
      <c r="B71" s="2"/>
      <c r="C71" s="2"/>
      <c r="D71" s="977"/>
    </row>
    <row r="72" spans="1:5">
      <c r="A72" s="834"/>
      <c r="B72" s="2"/>
      <c r="C72" s="2"/>
      <c r="D72" s="977"/>
    </row>
    <row r="73" spans="1:5" ht="13.5" thickBot="1">
      <c r="A73" s="834" t="s">
        <v>3181</v>
      </c>
      <c r="B73" s="2"/>
      <c r="C73" s="2"/>
      <c r="D73" s="978"/>
    </row>
    <row r="74" spans="1:5">
      <c r="A74" s="834"/>
      <c r="B74" s="2"/>
      <c r="C74" s="2"/>
      <c r="D74" s="835" t="s">
        <v>3182</v>
      </c>
    </row>
    <row r="75" spans="1:5">
      <c r="A75" s="976"/>
      <c r="B75" s="2"/>
      <c r="C75" s="2"/>
      <c r="D75" s="977"/>
    </row>
    <row r="76" spans="1:5" ht="12.95" customHeight="1">
      <c r="A76" s="976"/>
      <c r="B76" s="2"/>
      <c r="C76" s="2"/>
      <c r="D76" s="977"/>
    </row>
    <row r="77" spans="1:5">
      <c r="A77" s="976"/>
      <c r="B77" s="2"/>
      <c r="C77" s="2"/>
      <c r="D77" s="977"/>
    </row>
    <row r="78" spans="1:5" ht="13.5" thickBot="1">
      <c r="A78" s="834" t="s">
        <v>3183</v>
      </c>
      <c r="B78" s="2"/>
      <c r="C78" s="2"/>
      <c r="D78" s="836"/>
    </row>
    <row r="79" spans="1:5">
      <c r="A79" s="834"/>
      <c r="B79" s="2"/>
      <c r="C79" s="2"/>
      <c r="D79" s="835" t="s">
        <v>3184</v>
      </c>
    </row>
    <row r="80" spans="1:5" ht="15">
      <c r="A80"/>
      <c r="B80" s="26"/>
      <c r="C80"/>
      <c r="D80" s="154"/>
      <c r="E80"/>
    </row>
  </sheetData>
  <mergeCells count="4">
    <mergeCell ref="A3:B3"/>
    <mergeCell ref="D70:D73"/>
    <mergeCell ref="A75:A77"/>
    <mergeCell ref="D75:D77"/>
  </mergeCells>
  <pageMargins left="0.23622047244094491" right="0.23622047244094491" top="0.74803149606299213" bottom="0" header="0" footer="0.51181102362204722"/>
  <pageSetup scale="85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opLeftCell="B16" zoomScale="80" zoomScaleNormal="80" workbookViewId="0">
      <selection activeCell="B18" sqref="A18:XFD28"/>
    </sheetView>
  </sheetViews>
  <sheetFormatPr defaultRowHeight="15"/>
  <cols>
    <col min="3" max="3" width="9" bestFit="1" customWidth="1"/>
    <col min="4" max="4" width="19.85546875" customWidth="1"/>
    <col min="5" max="5" width="16.7109375" customWidth="1"/>
    <col min="6" max="6" width="2.140625" customWidth="1"/>
    <col min="7" max="7" width="14.85546875" customWidth="1"/>
    <col min="8" max="8" width="2.140625" customWidth="1"/>
    <col min="9" max="9" width="14.28515625" customWidth="1"/>
    <col min="10" max="10" width="3.28515625" customWidth="1"/>
    <col min="11" max="11" width="16.28515625" customWidth="1"/>
    <col min="12" max="12" width="3.85546875" customWidth="1"/>
    <col min="13" max="13" width="15.85546875" customWidth="1"/>
    <col min="14" max="14" width="2.5703125" customWidth="1"/>
    <col min="15" max="15" width="16.28515625" customWidth="1"/>
    <col min="16" max="16" width="2.42578125" customWidth="1"/>
    <col min="17" max="17" width="17" customWidth="1"/>
    <col min="19" max="19" width="15.42578125" customWidth="1"/>
    <col min="20" max="20" width="14.140625" bestFit="1" customWidth="1"/>
    <col min="21" max="21" width="10.42578125" bestFit="1" customWidth="1"/>
  </cols>
  <sheetData>
    <row r="2" spans="2:20">
      <c r="B2" s="125">
        <v>4</v>
      </c>
      <c r="C2" s="124" t="s">
        <v>3179</v>
      </c>
    </row>
    <row r="3" spans="2:20" s="226" customFormat="1" ht="60">
      <c r="B3" s="266"/>
      <c r="C3" s="832"/>
      <c r="D3" s="832"/>
      <c r="E3" s="270" t="s">
        <v>2084</v>
      </c>
      <c r="F3" s="266"/>
      <c r="G3" s="270" t="s">
        <v>459</v>
      </c>
      <c r="H3" s="266"/>
      <c r="I3" s="270" t="s">
        <v>2085</v>
      </c>
      <c r="J3" s="266"/>
      <c r="K3" s="270" t="s">
        <v>506</v>
      </c>
      <c r="L3" s="266"/>
      <c r="M3" s="270" t="s">
        <v>2086</v>
      </c>
      <c r="N3" s="266"/>
      <c r="O3" s="270" t="s">
        <v>2087</v>
      </c>
      <c r="P3" s="266"/>
      <c r="Q3" s="270" t="s">
        <v>2088</v>
      </c>
      <c r="R3" s="266"/>
      <c r="S3" s="270" t="s">
        <v>338</v>
      </c>
    </row>
    <row r="4" spans="2:20" s="226" customFormat="1">
      <c r="B4" s="266"/>
      <c r="C4" s="833" t="s">
        <v>675</v>
      </c>
      <c r="D4" s="832"/>
      <c r="E4" s="832"/>
      <c r="F4" s="266"/>
      <c r="G4" s="832"/>
      <c r="H4" s="266"/>
      <c r="I4" s="832"/>
      <c r="J4" s="266"/>
      <c r="K4" s="832"/>
      <c r="L4" s="266"/>
      <c r="M4" s="832"/>
      <c r="N4" s="266"/>
      <c r="O4" s="832"/>
      <c r="P4" s="266"/>
      <c r="Q4" s="832"/>
      <c r="R4" s="266"/>
      <c r="S4" s="832"/>
    </row>
    <row r="5" spans="2:20" s="7" customFormat="1" ht="15.75" thickBot="1">
      <c r="C5" s="588" t="s">
        <v>690</v>
      </c>
      <c r="D5" s="588"/>
      <c r="E5" s="831">
        <v>359554</v>
      </c>
      <c r="F5" s="808"/>
      <c r="G5" s="831">
        <v>42386911</v>
      </c>
      <c r="H5" s="808">
        <v>0</v>
      </c>
      <c r="I5" s="831">
        <v>38471491</v>
      </c>
      <c r="J5" s="808"/>
      <c r="K5" s="831">
        <v>3476325</v>
      </c>
      <c r="L5" s="808"/>
      <c r="M5" s="831">
        <v>2592618</v>
      </c>
      <c r="N5" s="808"/>
      <c r="O5" s="831">
        <v>15472774</v>
      </c>
      <c r="P5" s="808"/>
      <c r="Q5" s="831">
        <v>1792483</v>
      </c>
      <c r="R5" s="808"/>
      <c r="S5" s="831">
        <f>SUM(E5:Q5)</f>
        <v>104552156</v>
      </c>
      <c r="T5" s="830"/>
    </row>
    <row r="6" spans="2:20" ht="15.75" thickTop="1">
      <c r="C6" s="665"/>
      <c r="D6" s="153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</row>
    <row r="7" spans="2:20" ht="15.75" thickBot="1">
      <c r="C7" s="665" t="s">
        <v>3217</v>
      </c>
      <c r="D7" s="153"/>
      <c r="E7" s="799">
        <v>368988</v>
      </c>
      <c r="F7" s="801"/>
      <c r="G7" s="799">
        <v>51276100</v>
      </c>
      <c r="H7" s="801"/>
      <c r="I7" s="799">
        <v>42187718</v>
      </c>
      <c r="J7" s="801"/>
      <c r="K7" s="799">
        <v>3632207</v>
      </c>
      <c r="L7" s="801"/>
      <c r="M7" s="799">
        <v>2695947</v>
      </c>
      <c r="N7" s="801"/>
      <c r="O7" s="799">
        <v>11144063</v>
      </c>
      <c r="P7" s="801"/>
      <c r="Q7" s="799">
        <v>2210447</v>
      </c>
      <c r="R7" s="801"/>
      <c r="S7" s="799">
        <f>SUM(E7:Q7)</f>
        <v>113515470</v>
      </c>
      <c r="T7" s="800"/>
    </row>
    <row r="8" spans="2:20" ht="15.75" thickTop="1">
      <c r="C8" s="153"/>
      <c r="D8" s="153"/>
      <c r="F8" s="153"/>
      <c r="H8" s="153"/>
      <c r="J8" s="153"/>
      <c r="L8" s="153"/>
      <c r="N8" s="153"/>
      <c r="P8" s="153"/>
      <c r="R8" s="153"/>
      <c r="T8" s="800"/>
    </row>
    <row r="9" spans="2:20">
      <c r="C9" s="665" t="s">
        <v>2089</v>
      </c>
      <c r="D9" s="153"/>
      <c r="E9" s="5"/>
      <c r="F9" s="442"/>
      <c r="G9" s="5"/>
      <c r="H9" s="442"/>
      <c r="I9" s="5"/>
      <c r="J9" s="442"/>
      <c r="K9" s="5"/>
      <c r="L9" s="442"/>
      <c r="M9" s="5"/>
      <c r="N9" s="442"/>
      <c r="O9" s="5"/>
      <c r="P9" s="442"/>
      <c r="Q9" s="5"/>
      <c r="R9" s="442"/>
      <c r="S9" s="5"/>
      <c r="T9" s="800"/>
    </row>
    <row r="10" spans="2:20" s="7" customFormat="1" ht="15.75" thickBot="1">
      <c r="C10" s="588" t="s">
        <v>690</v>
      </c>
      <c r="D10" s="588"/>
      <c r="E10" s="791">
        <v>0</v>
      </c>
      <c r="F10" s="587"/>
      <c r="G10" s="791">
        <v>-11211442</v>
      </c>
      <c r="H10" s="587"/>
      <c r="I10" s="791">
        <v>-9898755</v>
      </c>
      <c r="J10" s="587"/>
      <c r="K10" s="791">
        <v>-1134186</v>
      </c>
      <c r="L10" s="587"/>
      <c r="M10" s="791">
        <v>-616965</v>
      </c>
      <c r="N10" s="587"/>
      <c r="O10" s="791">
        <v>-834462</v>
      </c>
      <c r="P10" s="587"/>
      <c r="Q10" s="791">
        <v>-292713</v>
      </c>
      <c r="R10" s="587"/>
      <c r="S10" s="791">
        <f>SUM(E10:Q10)</f>
        <v>-23988523</v>
      </c>
      <c r="T10" s="830"/>
    </row>
    <row r="11" spans="2:20" ht="16.5" thickTop="1" thickBot="1">
      <c r="C11" s="665" t="s">
        <v>3217</v>
      </c>
      <c r="D11" s="153"/>
      <c r="E11" s="180">
        <v>0</v>
      </c>
      <c r="F11" s="442"/>
      <c r="G11" s="180">
        <v>-13282745</v>
      </c>
      <c r="H11" s="442"/>
      <c r="I11" s="180">
        <v>-13208235</v>
      </c>
      <c r="J11" s="442"/>
      <c r="K11" s="180">
        <v>-1399811</v>
      </c>
      <c r="L11" s="442"/>
      <c r="M11" s="180">
        <v>-832514</v>
      </c>
      <c r="N11" s="442"/>
      <c r="O11" s="180">
        <v>-856096</v>
      </c>
      <c r="P11" s="442"/>
      <c r="Q11" s="180">
        <v>-292713</v>
      </c>
      <c r="R11" s="442"/>
      <c r="S11" s="180">
        <f>SUM(E11:Q11)</f>
        <v>-29872114</v>
      </c>
      <c r="T11" s="800"/>
    </row>
    <row r="12" spans="2:20" ht="15.75" thickTop="1">
      <c r="C12" s="665"/>
      <c r="D12" s="153"/>
      <c r="E12" s="191"/>
      <c r="F12" s="442"/>
      <c r="G12" s="191"/>
      <c r="H12" s="442"/>
      <c r="I12" s="191"/>
      <c r="J12" s="442"/>
      <c r="K12" s="191"/>
      <c r="L12" s="442"/>
      <c r="M12" s="191"/>
      <c r="N12" s="442"/>
      <c r="O12" s="191"/>
      <c r="P12" s="442"/>
      <c r="Q12" s="191"/>
      <c r="R12" s="442"/>
      <c r="S12" s="191"/>
      <c r="T12" s="800"/>
    </row>
    <row r="13" spans="2:20">
      <c r="C13" s="665" t="s">
        <v>682</v>
      </c>
      <c r="D13" s="153"/>
      <c r="T13" s="234"/>
    </row>
    <row r="14" spans="2:20" s="7" customFormat="1" ht="15.75" thickBot="1">
      <c r="C14" s="588" t="s">
        <v>690</v>
      </c>
      <c r="D14" s="588"/>
      <c r="E14" s="893">
        <f>E10+E5</f>
        <v>359554</v>
      </c>
      <c r="G14" s="831">
        <f>G10+G5</f>
        <v>31175469</v>
      </c>
      <c r="I14" s="831">
        <f>I10+I5</f>
        <v>28572736</v>
      </c>
      <c r="K14" s="831">
        <f>K10+K5</f>
        <v>2342139</v>
      </c>
      <c r="M14" s="831">
        <f>M10+M5</f>
        <v>1975653</v>
      </c>
      <c r="O14" s="831">
        <f>O10+O5</f>
        <v>14638312</v>
      </c>
      <c r="Q14" s="831">
        <f>Q10+Q5</f>
        <v>1499770</v>
      </c>
      <c r="S14" s="831">
        <f>S10+S5</f>
        <v>80563633</v>
      </c>
      <c r="T14" s="436">
        <f>S14-ББ!F9</f>
        <v>0</v>
      </c>
    </row>
    <row r="15" spans="2:20" s="124" customFormat="1" ht="16.5" thickTop="1" thickBot="1">
      <c r="C15" s="665" t="s">
        <v>3217</v>
      </c>
      <c r="D15" s="665"/>
      <c r="E15" s="180">
        <f>E11+E7</f>
        <v>368988</v>
      </c>
      <c r="G15" s="180">
        <f>G11+G7</f>
        <v>37993355</v>
      </c>
      <c r="I15" s="180">
        <f>I11+I7</f>
        <v>28979483</v>
      </c>
      <c r="K15" s="180">
        <f>K11+K7</f>
        <v>2232396</v>
      </c>
      <c r="M15" s="180">
        <f>M11+M7</f>
        <v>1863433</v>
      </c>
      <c r="O15" s="180">
        <f>O11+O7</f>
        <v>10287967</v>
      </c>
      <c r="Q15" s="180">
        <f>Q11+Q7</f>
        <v>1917734</v>
      </c>
      <c r="S15" s="180">
        <f>S11+S7</f>
        <v>83643356</v>
      </c>
      <c r="T15" s="293">
        <f>S15-ББ!D9</f>
        <v>0</v>
      </c>
    </row>
    <row r="16" spans="2:20" ht="15.75" thickTop="1">
      <c r="T16" s="80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topLeftCell="A10" zoomScaleNormal="100" workbookViewId="0">
      <selection activeCell="A3" sqref="A3"/>
    </sheetView>
  </sheetViews>
  <sheetFormatPr defaultColWidth="8.7109375" defaultRowHeight="12.75"/>
  <cols>
    <col min="1" max="3" width="8.7109375" style="2"/>
    <col min="4" max="4" width="10.28515625" style="2" bestFit="1" customWidth="1"/>
    <col min="5" max="5" width="10" style="2" bestFit="1" customWidth="1"/>
    <col min="6" max="6" width="8.7109375" style="2"/>
    <col min="7" max="7" width="9.140625" style="2" bestFit="1" customWidth="1"/>
    <col min="8" max="8" width="15.140625" style="2" customWidth="1"/>
    <col min="9" max="16384" width="8.7109375" style="2"/>
  </cols>
  <sheetData>
    <row r="2" spans="1:19">
      <c r="A2" s="58">
        <v>6</v>
      </c>
      <c r="B2" s="1" t="s">
        <v>679</v>
      </c>
      <c r="H2" s="673"/>
      <c r="I2" s="673"/>
      <c r="J2" s="673"/>
      <c r="K2" s="673"/>
      <c r="L2" s="673"/>
      <c r="M2" s="673"/>
      <c r="N2" s="673"/>
      <c r="O2" s="673"/>
    </row>
    <row r="3" spans="1:19">
      <c r="H3" s="673"/>
      <c r="I3" s="673"/>
      <c r="J3" s="673"/>
      <c r="K3" s="673"/>
      <c r="L3" s="673"/>
      <c r="M3" s="673"/>
      <c r="N3" s="673"/>
      <c r="O3" s="673"/>
    </row>
    <row r="4" spans="1:19">
      <c r="B4" s="1" t="s">
        <v>675</v>
      </c>
      <c r="D4" s="1" t="s">
        <v>678</v>
      </c>
      <c r="E4" s="1" t="s">
        <v>338</v>
      </c>
      <c r="H4" s="673"/>
      <c r="I4" s="673"/>
      <c r="J4" s="673"/>
      <c r="K4" s="673"/>
      <c r="L4" s="673"/>
      <c r="M4" s="673"/>
      <c r="N4" s="673"/>
      <c r="O4" s="673"/>
      <c r="P4" s="66"/>
      <c r="Q4" s="66"/>
      <c r="R4" s="66"/>
      <c r="S4" s="66"/>
    </row>
    <row r="5" spans="1:19">
      <c r="B5" s="2" t="s">
        <v>676</v>
      </c>
      <c r="D5" s="41">
        <v>284883</v>
      </c>
      <c r="E5" s="41">
        <v>284883</v>
      </c>
      <c r="H5" s="559"/>
      <c r="I5" s="783"/>
      <c r="J5" s="783"/>
      <c r="K5" s="68"/>
      <c r="L5" s="68"/>
      <c r="M5" s="68"/>
      <c r="N5" s="559"/>
      <c r="O5" s="673"/>
      <c r="P5" s="66"/>
      <c r="Q5" s="66"/>
      <c r="R5" s="66"/>
      <c r="S5" s="66"/>
    </row>
    <row r="6" spans="1:19">
      <c r="B6" s="2" t="s">
        <v>677</v>
      </c>
      <c r="D6" s="127">
        <v>284883</v>
      </c>
      <c r="E6" s="41">
        <v>284883</v>
      </c>
      <c r="H6" s="559"/>
      <c r="I6" s="559"/>
      <c r="J6" s="559"/>
      <c r="K6" s="68"/>
      <c r="L6" s="68"/>
      <c r="M6" s="68"/>
      <c r="N6" s="783"/>
      <c r="O6" s="673"/>
      <c r="P6" s="66"/>
      <c r="Q6" s="66"/>
      <c r="R6" s="66"/>
      <c r="S6" s="66"/>
    </row>
    <row r="7" spans="1:19">
      <c r="B7" s="1" t="s">
        <v>3218</v>
      </c>
      <c r="D7" s="121">
        <v>284883</v>
      </c>
      <c r="E7" s="43">
        <v>284883</v>
      </c>
      <c r="H7" s="559"/>
      <c r="I7" s="783"/>
      <c r="J7" s="783"/>
      <c r="K7" s="673"/>
      <c r="L7" s="673"/>
      <c r="M7" s="783"/>
      <c r="N7" s="783"/>
      <c r="O7" s="673"/>
      <c r="P7" s="66"/>
      <c r="Q7" s="66"/>
      <c r="R7" s="66"/>
      <c r="S7" s="66"/>
    </row>
    <row r="8" spans="1:19">
      <c r="H8" s="559"/>
      <c r="I8" s="783"/>
      <c r="J8" s="783"/>
      <c r="K8" s="673"/>
      <c r="L8" s="673"/>
      <c r="M8" s="783"/>
      <c r="N8" s="783"/>
      <c r="O8" s="673"/>
      <c r="P8" s="673"/>
      <c r="Q8" s="673"/>
      <c r="R8" s="673"/>
      <c r="S8" s="673"/>
    </row>
    <row r="9" spans="1:19">
      <c r="B9" s="1" t="s">
        <v>680</v>
      </c>
      <c r="H9" s="559"/>
      <c r="I9" s="783"/>
      <c r="J9" s="783"/>
      <c r="K9" s="673"/>
      <c r="L9" s="673"/>
      <c r="M9" s="783"/>
      <c r="N9" s="783"/>
      <c r="O9" s="673"/>
      <c r="P9" s="66"/>
      <c r="Q9" s="66"/>
      <c r="R9" s="66"/>
      <c r="S9" s="66"/>
    </row>
    <row r="10" spans="1:19">
      <c r="B10" s="1" t="s">
        <v>676</v>
      </c>
      <c r="D10" s="43">
        <v>-68462</v>
      </c>
      <c r="E10" s="41">
        <v>-68462</v>
      </c>
      <c r="H10" s="559"/>
      <c r="I10" s="783"/>
      <c r="J10" s="783"/>
      <c r="K10" s="68"/>
      <c r="L10" s="68"/>
      <c r="M10" s="68"/>
      <c r="N10" s="559"/>
      <c r="O10" s="673"/>
      <c r="P10" s="66"/>
      <c r="Q10" s="66"/>
      <c r="R10" s="66"/>
      <c r="S10" s="66"/>
    </row>
    <row r="11" spans="1:19">
      <c r="B11" s="2" t="s">
        <v>681</v>
      </c>
      <c r="D11" s="427">
        <v>-9829</v>
      </c>
      <c r="E11" s="41">
        <f t="shared" ref="E11" si="0">D11</f>
        <v>-9829</v>
      </c>
      <c r="G11" s="41"/>
      <c r="H11" s="783"/>
      <c r="I11" s="559"/>
      <c r="J11" s="559"/>
      <c r="K11" s="68"/>
      <c r="L11" s="673"/>
      <c r="M11" s="559"/>
      <c r="N11" s="559"/>
      <c r="O11" s="673"/>
      <c r="P11" s="66"/>
      <c r="Q11" s="66"/>
      <c r="R11" s="66"/>
      <c r="S11" s="66"/>
    </row>
    <row r="12" spans="1:19">
      <c r="B12" s="1" t="s">
        <v>677</v>
      </c>
      <c r="D12" s="41">
        <f>D11+D10</f>
        <v>-78291</v>
      </c>
      <c r="E12" s="41">
        <f>D12</f>
        <v>-78291</v>
      </c>
      <c r="H12" s="783"/>
      <c r="I12" s="559"/>
      <c r="J12" s="559"/>
      <c r="K12" s="68"/>
      <c r="L12" s="68"/>
      <c r="M12" s="68"/>
      <c r="N12" s="559"/>
      <c r="O12" s="673"/>
      <c r="P12" s="66"/>
      <c r="Q12" s="66"/>
      <c r="R12" s="66"/>
      <c r="S12" s="66"/>
    </row>
    <row r="13" spans="1:19">
      <c r="B13" s="2" t="s">
        <v>3219</v>
      </c>
      <c r="D13" s="41">
        <v>-7371</v>
      </c>
      <c r="E13" s="41">
        <f t="shared" ref="E13:E14" si="1">D13</f>
        <v>-7371</v>
      </c>
      <c r="H13" s="783"/>
      <c r="I13" s="559"/>
      <c r="J13" s="559"/>
      <c r="K13" s="68"/>
      <c r="L13" s="68"/>
      <c r="M13" s="68"/>
      <c r="N13" s="559"/>
      <c r="O13" s="673"/>
      <c r="P13" s="673"/>
      <c r="Q13" s="673"/>
      <c r="R13" s="673"/>
      <c r="S13" s="673"/>
    </row>
    <row r="14" spans="1:19">
      <c r="B14" s="1" t="s">
        <v>3218</v>
      </c>
      <c r="D14" s="41">
        <f>D13+D12</f>
        <v>-85662</v>
      </c>
      <c r="E14" s="41">
        <f t="shared" si="1"/>
        <v>-85662</v>
      </c>
      <c r="H14" s="783"/>
      <c r="I14" s="559"/>
      <c r="J14" s="559"/>
      <c r="K14" s="68"/>
      <c r="L14" s="68"/>
      <c r="M14" s="68"/>
      <c r="N14" s="559"/>
      <c r="O14" s="673"/>
      <c r="P14" s="673"/>
      <c r="Q14" s="673"/>
      <c r="R14" s="673"/>
      <c r="S14" s="673"/>
    </row>
    <row r="15" spans="1:19">
      <c r="H15" s="559"/>
      <c r="I15" s="559"/>
      <c r="J15" s="559"/>
      <c r="K15" s="673"/>
      <c r="L15" s="68"/>
      <c r="M15" s="68"/>
      <c r="N15" s="783"/>
      <c r="O15" s="673"/>
      <c r="P15" s="66"/>
      <c r="Q15" s="66"/>
      <c r="R15" s="66"/>
      <c r="S15" s="66"/>
    </row>
    <row r="16" spans="1:19">
      <c r="B16" s="1" t="s">
        <v>682</v>
      </c>
      <c r="H16" s="559"/>
      <c r="I16" s="559"/>
      <c r="J16" s="559"/>
      <c r="K16" s="673"/>
      <c r="L16" s="673"/>
      <c r="M16" s="559"/>
      <c r="N16" s="559"/>
      <c r="O16" s="673"/>
      <c r="P16" s="66"/>
      <c r="Q16" s="66"/>
      <c r="R16" s="66"/>
      <c r="S16" s="66"/>
    </row>
    <row r="17" spans="2:19">
      <c r="B17" s="1" t="s">
        <v>676</v>
      </c>
      <c r="D17" s="41">
        <f>D10+D5</f>
        <v>216421</v>
      </c>
      <c r="E17" s="41">
        <f t="shared" ref="E17:E18" si="2">D17</f>
        <v>216421</v>
      </c>
      <c r="F17" s="62"/>
      <c r="H17" s="559"/>
      <c r="I17" s="783"/>
      <c r="J17" s="783"/>
      <c r="K17" s="68"/>
      <c r="L17" s="68"/>
      <c r="M17" s="68"/>
      <c r="N17" s="673"/>
      <c r="O17" s="673"/>
      <c r="P17" s="66"/>
      <c r="Q17" s="66"/>
      <c r="R17" s="66"/>
      <c r="S17" s="66"/>
    </row>
    <row r="18" spans="2:19">
      <c r="B18" s="1" t="s">
        <v>677</v>
      </c>
      <c r="D18" s="41">
        <f>D12+D6</f>
        <v>206592</v>
      </c>
      <c r="E18" s="41">
        <f t="shared" si="2"/>
        <v>206592</v>
      </c>
      <c r="F18" s="62">
        <f>E18-ББ!F11</f>
        <v>0</v>
      </c>
      <c r="H18" s="559"/>
      <c r="I18" s="559"/>
      <c r="J18" s="559"/>
      <c r="K18" s="68"/>
      <c r="L18" s="68"/>
      <c r="M18" s="68"/>
      <c r="N18" s="673"/>
      <c r="O18" s="673"/>
      <c r="P18" s="66"/>
      <c r="Q18" s="66"/>
      <c r="R18" s="66"/>
      <c r="S18" s="66"/>
    </row>
    <row r="19" spans="2:19">
      <c r="B19" s="1" t="s">
        <v>3218</v>
      </c>
      <c r="D19" s="41">
        <f>D7+D14</f>
        <v>199221</v>
      </c>
      <c r="E19" s="41">
        <f>E7+E14</f>
        <v>199221</v>
      </c>
      <c r="F19" s="62">
        <f>E19-ББ!D11</f>
        <v>0</v>
      </c>
      <c r="H19" s="559"/>
      <c r="I19" s="559"/>
      <c r="J19" s="559"/>
      <c r="K19" s="68"/>
      <c r="L19" s="68"/>
      <c r="M19" s="68"/>
      <c r="N19" s="673"/>
      <c r="O19" s="673"/>
      <c r="P19" s="673"/>
      <c r="Q19" s="673"/>
      <c r="R19" s="673"/>
      <c r="S19" s="673"/>
    </row>
    <row r="20" spans="2:19">
      <c r="D20" s="41"/>
      <c r="H20" s="673"/>
      <c r="I20" s="673"/>
      <c r="J20" s="673"/>
      <c r="K20" s="673"/>
      <c r="L20" s="673"/>
      <c r="M20" s="673"/>
      <c r="N20" s="673"/>
      <c r="O20" s="673"/>
      <c r="P20" s="66"/>
      <c r="Q20" s="66"/>
      <c r="R20" s="66"/>
      <c r="S20" s="66"/>
    </row>
    <row r="21" spans="2:19"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opLeftCell="D1" zoomScaleNormal="100" workbookViewId="0">
      <selection activeCell="L1" sqref="L1:U1048576"/>
    </sheetView>
  </sheetViews>
  <sheetFormatPr defaultColWidth="8.7109375" defaultRowHeight="12.75"/>
  <cols>
    <col min="1" max="4" width="8.7109375" style="130"/>
    <col min="5" max="5" width="3.85546875" style="130" customWidth="1"/>
    <col min="6" max="6" width="12" style="130" bestFit="1" customWidth="1"/>
    <col min="7" max="7" width="4.7109375" style="130" customWidth="1"/>
    <col min="8" max="8" width="10.5703125" style="130" bestFit="1" customWidth="1"/>
    <col min="9" max="9" width="12" style="130" bestFit="1" customWidth="1"/>
    <col min="10" max="10" width="11.7109375" style="130" bestFit="1" customWidth="1"/>
    <col min="11" max="11" width="9.140625" style="130" bestFit="1" customWidth="1"/>
    <col min="12" max="16384" width="8.7109375" style="130"/>
  </cols>
  <sheetData>
    <row r="2" spans="1:11" s="129" customFormat="1">
      <c r="A2" s="128">
        <v>7</v>
      </c>
      <c r="B2" s="129" t="s">
        <v>684</v>
      </c>
    </row>
    <row r="3" spans="1:11">
      <c r="K3" s="641"/>
    </row>
    <row r="4" spans="1:11" s="129" customFormat="1">
      <c r="B4" s="129" t="s">
        <v>675</v>
      </c>
      <c r="F4" s="129" t="s">
        <v>685</v>
      </c>
      <c r="H4" s="129" t="s">
        <v>686</v>
      </c>
      <c r="I4" s="129" t="s">
        <v>338</v>
      </c>
      <c r="J4" s="143"/>
      <c r="K4" s="682"/>
    </row>
    <row r="5" spans="1:11" ht="13.5" thickBot="1">
      <c r="B5" s="129" t="s">
        <v>689</v>
      </c>
      <c r="F5" s="140">
        <v>1218490</v>
      </c>
      <c r="G5" s="138"/>
      <c r="H5" s="140">
        <v>454132</v>
      </c>
      <c r="I5" s="140">
        <v>1672622</v>
      </c>
      <c r="K5" s="641"/>
    </row>
    <row r="6" spans="1:11" ht="13.5" thickTop="1">
      <c r="B6" s="130" t="s">
        <v>687</v>
      </c>
      <c r="F6" s="131">
        <v>0</v>
      </c>
      <c r="G6" s="131"/>
      <c r="H6" s="131">
        <v>43343</v>
      </c>
      <c r="I6" s="141">
        <v>43343</v>
      </c>
      <c r="K6" s="640"/>
    </row>
    <row r="7" spans="1:11">
      <c r="B7" s="130" t="s">
        <v>688</v>
      </c>
      <c r="F7" s="131">
        <v>0</v>
      </c>
      <c r="G7" s="131"/>
      <c r="H7" s="131">
        <v>79016</v>
      </c>
      <c r="I7" s="141">
        <v>79016</v>
      </c>
      <c r="K7" s="640"/>
    </row>
    <row r="8" spans="1:11">
      <c r="B8" s="130" t="s">
        <v>2083</v>
      </c>
      <c r="F8" s="131">
        <v>0</v>
      </c>
      <c r="G8" s="131"/>
      <c r="H8" s="131">
        <v>-1348</v>
      </c>
      <c r="I8" s="141">
        <v>-1348</v>
      </c>
      <c r="K8" s="640"/>
    </row>
    <row r="9" spans="1:11" ht="13.5" thickBot="1">
      <c r="B9" s="129" t="s">
        <v>690</v>
      </c>
      <c r="F9" s="140">
        <f>SUM(F5:F7)</f>
        <v>1218490</v>
      </c>
      <c r="G9" s="139"/>
      <c r="H9" s="140">
        <f>SUM(H5:H8)</f>
        <v>575143</v>
      </c>
      <c r="I9" s="140">
        <f>SUM(I5:I8)</f>
        <v>1793633</v>
      </c>
      <c r="K9" s="640"/>
    </row>
    <row r="10" spans="1:11" ht="13.5" thickTop="1">
      <c r="B10" s="130" t="s">
        <v>687</v>
      </c>
      <c r="F10" s="785">
        <v>0</v>
      </c>
      <c r="G10" s="141"/>
      <c r="H10" s="141">
        <v>200663</v>
      </c>
      <c r="I10" s="141">
        <f>H10</f>
        <v>200663</v>
      </c>
      <c r="K10" s="640"/>
    </row>
    <row r="11" spans="1:11">
      <c r="B11" s="130" t="s">
        <v>688</v>
      </c>
      <c r="F11" s="785">
        <v>0</v>
      </c>
      <c r="G11" s="141"/>
      <c r="H11" s="141">
        <v>40037</v>
      </c>
      <c r="I11" s="141">
        <f>H11</f>
        <v>40037</v>
      </c>
      <c r="K11" s="640"/>
    </row>
    <row r="12" spans="1:11">
      <c r="B12" s="130" t="s">
        <v>2083</v>
      </c>
      <c r="F12" s="785">
        <v>0</v>
      </c>
      <c r="G12" s="141"/>
      <c r="H12" s="141">
        <v>-666</v>
      </c>
      <c r="I12" s="141">
        <f>H12</f>
        <v>-666</v>
      </c>
      <c r="K12" s="640"/>
    </row>
    <row r="13" spans="1:11" ht="13.5" thickBot="1">
      <c r="B13" s="129" t="s">
        <v>3217</v>
      </c>
      <c r="F13" s="140">
        <f>SUM(F9:F12)</f>
        <v>1218490</v>
      </c>
      <c r="G13" s="139"/>
      <c r="H13" s="140">
        <f>SUM(H9:H12)</f>
        <v>815177</v>
      </c>
      <c r="I13" s="140">
        <f>H13+F13</f>
        <v>2033667</v>
      </c>
      <c r="K13" s="640"/>
    </row>
    <row r="14" spans="1:11" ht="13.5" thickTop="1">
      <c r="F14" s="131"/>
      <c r="G14" s="131"/>
      <c r="H14" s="131"/>
      <c r="I14" s="131"/>
      <c r="K14" s="641"/>
    </row>
    <row r="15" spans="1:11">
      <c r="B15" s="129" t="s">
        <v>691</v>
      </c>
      <c r="F15" s="131"/>
      <c r="G15" s="131"/>
      <c r="H15" s="131"/>
      <c r="I15" s="131"/>
      <c r="K15" s="641"/>
    </row>
    <row r="16" spans="1:11" ht="13.5" thickBot="1">
      <c r="B16" s="129" t="s">
        <v>689</v>
      </c>
      <c r="F16" s="140">
        <v>-332749</v>
      </c>
      <c r="G16" s="140">
        <v>0</v>
      </c>
      <c r="H16" s="140">
        <v>-161360</v>
      </c>
      <c r="I16" s="140">
        <f>H16+F16</f>
        <v>-494109</v>
      </c>
      <c r="K16" s="641"/>
    </row>
    <row r="17" spans="2:11" ht="13.5" thickTop="1">
      <c r="B17" s="130" t="s">
        <v>692</v>
      </c>
      <c r="F17" s="131">
        <v>-97602</v>
      </c>
      <c r="G17" s="131"/>
      <c r="H17" s="131">
        <v>-58522</v>
      </c>
      <c r="I17" s="131">
        <f>SUM(F17:H17)</f>
        <v>-156124</v>
      </c>
      <c r="K17" s="641"/>
    </row>
    <row r="18" spans="2:11">
      <c r="B18" s="130" t="s">
        <v>2083</v>
      </c>
      <c r="F18" s="131">
        <v>0</v>
      </c>
      <c r="G18" s="131"/>
      <c r="H18" s="131">
        <v>1246</v>
      </c>
      <c r="I18" s="131">
        <f t="shared" ref="I18" si="0">SUM(F18:H18)</f>
        <v>1246</v>
      </c>
      <c r="K18" s="641"/>
    </row>
    <row r="19" spans="2:11" ht="13.5" thickBot="1">
      <c r="B19" s="129" t="s">
        <v>690</v>
      </c>
      <c r="F19" s="140">
        <f>SUM(F16:F18)</f>
        <v>-430351</v>
      </c>
      <c r="G19" s="140"/>
      <c r="H19" s="140">
        <f>SUM(H16:H18)</f>
        <v>-218636</v>
      </c>
      <c r="I19" s="140">
        <f>SUM(I16:I18)</f>
        <v>-648987</v>
      </c>
      <c r="K19" s="641"/>
    </row>
    <row r="20" spans="2:11" ht="13.5" thickTop="1">
      <c r="B20" s="130" t="s">
        <v>3220</v>
      </c>
      <c r="F20" s="785">
        <v>-74984</v>
      </c>
      <c r="G20" s="785"/>
      <c r="H20" s="785">
        <v>-60921</v>
      </c>
      <c r="I20" s="785">
        <f>SUM(F20:H20)</f>
        <v>-135905</v>
      </c>
      <c r="K20" s="641"/>
    </row>
    <row r="21" spans="2:11">
      <c r="B21" s="130" t="s">
        <v>2083</v>
      </c>
      <c r="F21" s="785">
        <v>0</v>
      </c>
      <c r="G21" s="785"/>
      <c r="H21" s="785">
        <v>0</v>
      </c>
      <c r="I21" s="785">
        <f>SUM(F21:H21)</f>
        <v>0</v>
      </c>
      <c r="K21" s="641"/>
    </row>
    <row r="22" spans="2:11" ht="13.5" thickBot="1">
      <c r="B22" s="129" t="s">
        <v>3217</v>
      </c>
      <c r="F22" s="140">
        <f>SUM(F19:F21)</f>
        <v>-505335</v>
      </c>
      <c r="G22" s="140"/>
      <c r="H22" s="140">
        <f>SUM(H19:H21)</f>
        <v>-279557</v>
      </c>
      <c r="I22" s="140">
        <f>SUM(I19:I21)</f>
        <v>-784892</v>
      </c>
      <c r="K22" s="641"/>
    </row>
    <row r="23" spans="2:11" ht="13.5" thickTop="1">
      <c r="F23" s="131"/>
      <c r="G23" s="131"/>
      <c r="H23" s="131"/>
      <c r="I23" s="131"/>
      <c r="K23" s="641"/>
    </row>
    <row r="24" spans="2:11">
      <c r="B24" s="129" t="s">
        <v>682</v>
      </c>
      <c r="F24" s="131"/>
      <c r="G24" s="131"/>
      <c r="H24" s="131"/>
      <c r="I24" s="131"/>
      <c r="K24" s="641"/>
    </row>
    <row r="25" spans="2:11">
      <c r="B25" s="129" t="s">
        <v>689</v>
      </c>
      <c r="F25" s="142">
        <v>885741</v>
      </c>
      <c r="G25" s="142"/>
      <c r="H25" s="142">
        <v>292772</v>
      </c>
      <c r="I25" s="142">
        <f>H25+F25</f>
        <v>1178513</v>
      </c>
      <c r="J25" s="144"/>
      <c r="K25" s="641"/>
    </row>
    <row r="26" spans="2:11">
      <c r="B26" s="129" t="s">
        <v>690</v>
      </c>
      <c r="F26" s="142">
        <f>F19+F9</f>
        <v>788139</v>
      </c>
      <c r="G26" s="129"/>
      <c r="H26" s="142">
        <f>H19+H9</f>
        <v>356507</v>
      </c>
      <c r="I26" s="142">
        <f>I19+I9</f>
        <v>1144646</v>
      </c>
      <c r="J26" s="144">
        <f>I26-ББ!F12</f>
        <v>0</v>
      </c>
      <c r="K26" s="641"/>
    </row>
    <row r="27" spans="2:11">
      <c r="B27" s="129" t="s">
        <v>3217</v>
      </c>
      <c r="F27" s="142">
        <f>F22+F13</f>
        <v>713155</v>
      </c>
      <c r="G27" s="129"/>
      <c r="H27" s="142">
        <f>H22+H13</f>
        <v>535620</v>
      </c>
      <c r="I27" s="142">
        <f>H27+F27</f>
        <v>1248775</v>
      </c>
      <c r="J27" s="144">
        <f>I27-ББ!D12</f>
        <v>0</v>
      </c>
      <c r="K27" s="641"/>
    </row>
    <row r="28" spans="2:11">
      <c r="K28" s="641"/>
    </row>
    <row r="29" spans="2:11">
      <c r="K29" s="641"/>
    </row>
    <row r="30" spans="2:11">
      <c r="J30" s="508"/>
    </row>
    <row r="31" spans="2:11">
      <c r="J31" s="508"/>
    </row>
    <row r="32" spans="2:11">
      <c r="J32" s="508"/>
    </row>
    <row r="33" spans="10:10">
      <c r="J33" s="508"/>
    </row>
    <row r="34" spans="10:10">
      <c r="J34" s="50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2"/>
  <sheetViews>
    <sheetView zoomScale="80" zoomScaleNormal="80" workbookViewId="0">
      <pane xSplit="3" ySplit="4" topLeftCell="DM5" activePane="bottomRight" state="frozen"/>
      <selection pane="topRight" activeCell="D1" sqref="D1"/>
      <selection pane="bottomLeft" activeCell="A5" sqref="A5"/>
      <selection pane="bottomRight" activeCell="DX5" sqref="DX5"/>
    </sheetView>
  </sheetViews>
  <sheetFormatPr defaultColWidth="8.7109375" defaultRowHeight="12.75"/>
  <cols>
    <col min="1" max="4" width="8.7109375" style="2"/>
    <col min="5" max="5" width="12.42578125" style="2" bestFit="1" customWidth="1"/>
    <col min="6" max="6" width="4.42578125" style="2" customWidth="1"/>
    <col min="7" max="7" width="21.42578125" style="2" customWidth="1"/>
    <col min="8" max="8" width="6.5703125" style="2" customWidth="1"/>
    <col min="9" max="9" width="11.42578125" style="2" bestFit="1" customWidth="1"/>
    <col min="10" max="10" width="14.7109375" style="2" customWidth="1"/>
    <col min="11" max="11" width="11.85546875" style="2" customWidth="1"/>
    <col min="12" max="15" width="8.7109375" style="2"/>
    <col min="16" max="16" width="9.140625" style="2" bestFit="1" customWidth="1"/>
    <col min="17" max="18" width="8.7109375" style="2"/>
    <col min="19" max="19" width="9.140625" style="2" bestFit="1" customWidth="1"/>
    <col min="20" max="23" width="8.85546875" style="2" bestFit="1" customWidth="1"/>
    <col min="24" max="25" width="10.5703125" style="2" bestFit="1" customWidth="1"/>
    <col min="26" max="26" width="8.85546875" style="2" bestFit="1" customWidth="1"/>
    <col min="27" max="28" width="9.140625" style="2" bestFit="1" customWidth="1"/>
    <col min="29" max="33" width="8.7109375" style="2"/>
    <col min="34" max="34" width="10.85546875" style="2" customWidth="1"/>
    <col min="35" max="35" width="8.7109375" style="2"/>
    <col min="36" max="36" width="9.140625" style="2" bestFit="1" customWidth="1"/>
    <col min="37" max="37" width="16.5703125" style="2" customWidth="1"/>
    <col min="38" max="38" width="8.7109375" style="2"/>
    <col min="39" max="39" width="10.5703125" style="2" bestFit="1" customWidth="1"/>
    <col min="40" max="40" width="9.140625" style="2" bestFit="1" customWidth="1"/>
    <col min="41" max="41" width="10.5703125" style="2" bestFit="1" customWidth="1"/>
    <col min="42" max="44" width="8.7109375" style="2"/>
    <col min="45" max="45" width="12.5703125" style="2" customWidth="1"/>
    <col min="46" max="46" width="8.7109375" style="2"/>
    <col min="47" max="93" width="14.140625" style="2" customWidth="1"/>
    <col min="94" max="94" width="9.140625" style="2" bestFit="1" customWidth="1"/>
    <col min="95" max="95" width="10.5703125" style="2" bestFit="1" customWidth="1"/>
    <col min="96" max="97" width="10.5703125" style="2" customWidth="1"/>
    <col min="98" max="98" width="8.7109375" style="2"/>
    <col min="99" max="99" width="11.42578125" style="2" bestFit="1" customWidth="1"/>
    <col min="100" max="101" width="8.7109375" style="2"/>
    <col min="102" max="102" width="11.42578125" style="2" bestFit="1" customWidth="1"/>
    <col min="103" max="103" width="6.140625" style="2" customWidth="1"/>
    <col min="104" max="104" width="18.5703125" style="2" customWidth="1"/>
    <col min="105" max="105" width="11.42578125" style="2" bestFit="1" customWidth="1"/>
    <col min="106" max="106" width="14" style="2" customWidth="1"/>
    <col min="107" max="107" width="10.42578125" style="2" bestFit="1" customWidth="1"/>
    <col min="108" max="108" width="25.5703125" style="2" customWidth="1"/>
    <col min="109" max="113" width="15.85546875" style="2" customWidth="1"/>
    <col min="114" max="114" width="16.28515625" style="2" customWidth="1"/>
    <col min="115" max="115" width="22" style="2" customWidth="1"/>
    <col min="116" max="116" width="10.5703125" style="2" bestFit="1" customWidth="1"/>
    <col min="117" max="117" width="8.7109375" style="2"/>
    <col min="118" max="118" width="13.140625" style="2" customWidth="1"/>
    <col min="119" max="120" width="8.7109375" style="2"/>
    <col min="121" max="121" width="5.5703125" style="2" customWidth="1"/>
    <col min="122" max="123" width="8.7109375" style="2"/>
    <col min="124" max="124" width="8.7109375" style="2" customWidth="1"/>
    <col min="125" max="125" width="2.7109375" style="2" customWidth="1"/>
    <col min="126" max="128" width="8.7109375" style="2"/>
    <col min="129" max="129" width="3.7109375" style="2" customWidth="1"/>
    <col min="130" max="132" width="8.7109375" style="2"/>
    <col min="133" max="133" width="4.7109375" style="2" customWidth="1"/>
    <col min="134" max="136" width="8.7109375" style="2"/>
    <col min="137" max="137" width="4.7109375" style="2" customWidth="1"/>
    <col min="138" max="16384" width="8.7109375" style="2"/>
  </cols>
  <sheetData>
    <row r="1" spans="1:138" s="582" customFormat="1" ht="101.25">
      <c r="K1" s="736" t="s">
        <v>2988</v>
      </c>
      <c r="L1" s="736" t="s">
        <v>2988</v>
      </c>
      <c r="M1" s="736" t="s">
        <v>2989</v>
      </c>
      <c r="N1" s="736" t="s">
        <v>2990</v>
      </c>
      <c r="O1" s="736" t="s">
        <v>2991</v>
      </c>
      <c r="P1" s="736" t="s">
        <v>2993</v>
      </c>
      <c r="Q1" s="736" t="s">
        <v>2999</v>
      </c>
      <c r="R1" s="736" t="s">
        <v>3000</v>
      </c>
      <c r="S1" s="736" t="s">
        <v>3001</v>
      </c>
      <c r="T1" s="736" t="s">
        <v>3002</v>
      </c>
      <c r="U1" s="736" t="s">
        <v>3005</v>
      </c>
      <c r="V1" s="736" t="s">
        <v>3005</v>
      </c>
      <c r="W1" s="736" t="s">
        <v>3006</v>
      </c>
      <c r="X1" s="736" t="s">
        <v>3037</v>
      </c>
      <c r="Y1" s="736" t="s">
        <v>3038</v>
      </c>
      <c r="Z1" s="736" t="s">
        <v>3040</v>
      </c>
      <c r="AA1" s="736" t="s">
        <v>3041</v>
      </c>
      <c r="AB1" s="736" t="s">
        <v>2980</v>
      </c>
      <c r="AC1" s="736" t="s">
        <v>2992</v>
      </c>
      <c r="AD1" s="736" t="s">
        <v>3021</v>
      </c>
      <c r="AE1" s="736" t="s">
        <v>3033</v>
      </c>
      <c r="AF1" s="736" t="s">
        <v>3033</v>
      </c>
      <c r="AG1" s="737" t="s">
        <v>3044</v>
      </c>
      <c r="AH1" s="736" t="s">
        <v>2982</v>
      </c>
      <c r="AI1" s="736" t="s">
        <v>2998</v>
      </c>
      <c r="AJ1" s="736" t="s">
        <v>3003</v>
      </c>
      <c r="AK1" s="736" t="s">
        <v>3043</v>
      </c>
      <c r="AL1" s="736" t="s">
        <v>2983</v>
      </c>
      <c r="AM1" s="736" t="s">
        <v>2983</v>
      </c>
      <c r="AN1" s="736" t="s">
        <v>2960</v>
      </c>
      <c r="AO1" s="736" t="s">
        <v>2961</v>
      </c>
      <c r="AP1" s="736" t="s">
        <v>3007</v>
      </c>
      <c r="AQ1" s="736" t="s">
        <v>3032</v>
      </c>
      <c r="AR1" s="736" t="s">
        <v>3034</v>
      </c>
      <c r="AS1" s="736" t="s">
        <v>2984</v>
      </c>
      <c r="AT1" s="736" t="s">
        <v>2987</v>
      </c>
      <c r="AU1" s="736" t="s">
        <v>3004</v>
      </c>
      <c r="AV1" s="736" t="s">
        <v>3035</v>
      </c>
      <c r="AW1" s="736" t="s">
        <v>3036</v>
      </c>
      <c r="AX1" s="736" t="s">
        <v>3031</v>
      </c>
      <c r="AY1" s="736" t="s">
        <v>2995</v>
      </c>
      <c r="AZ1" s="736" t="s">
        <v>2985</v>
      </c>
      <c r="BA1" s="736" t="s">
        <v>2986</v>
      </c>
      <c r="BB1" s="736" t="s">
        <v>3039</v>
      </c>
      <c r="BC1" s="736" t="s">
        <v>3042</v>
      </c>
      <c r="BD1" s="737" t="s">
        <v>3044</v>
      </c>
      <c r="BE1" s="736" t="s">
        <v>3007</v>
      </c>
      <c r="BF1" s="736" t="s">
        <v>2994</v>
      </c>
      <c r="BG1" s="736" t="s">
        <v>2996</v>
      </c>
      <c r="BH1" s="736" t="s">
        <v>2997</v>
      </c>
      <c r="BI1" s="736" t="s">
        <v>3010</v>
      </c>
      <c r="BJ1" s="736" t="s">
        <v>3011</v>
      </c>
      <c r="BK1" s="736" t="s">
        <v>3012</v>
      </c>
      <c r="BL1" s="736" t="s">
        <v>3013</v>
      </c>
      <c r="BM1" s="736" t="s">
        <v>3016</v>
      </c>
      <c r="BN1" s="736" t="s">
        <v>3017</v>
      </c>
      <c r="BO1" s="736" t="s">
        <v>3018</v>
      </c>
      <c r="BP1" s="736" t="s">
        <v>3019</v>
      </c>
      <c r="BQ1" s="736" t="s">
        <v>3020</v>
      </c>
      <c r="BR1" s="736" t="s">
        <v>3023</v>
      </c>
      <c r="BS1" s="736" t="s">
        <v>3024</v>
      </c>
      <c r="BT1" s="736" t="s">
        <v>3024</v>
      </c>
      <c r="BU1" s="736" t="s">
        <v>3025</v>
      </c>
      <c r="BV1" s="736" t="s">
        <v>3025</v>
      </c>
      <c r="BW1" s="736" t="s">
        <v>2971</v>
      </c>
      <c r="BX1" s="736" t="s">
        <v>2971</v>
      </c>
      <c r="BY1" s="736" t="s">
        <v>3026</v>
      </c>
      <c r="BZ1" s="736" t="s">
        <v>3026</v>
      </c>
      <c r="CA1" s="736" t="s">
        <v>3027</v>
      </c>
      <c r="CB1" s="736" t="s">
        <v>3027</v>
      </c>
      <c r="CC1" s="736" t="s">
        <v>3028</v>
      </c>
      <c r="CD1" s="736" t="s">
        <v>3028</v>
      </c>
      <c r="CE1" s="736" t="s">
        <v>3028</v>
      </c>
      <c r="CF1" s="736" t="s">
        <v>3029</v>
      </c>
      <c r="CG1" s="736" t="s">
        <v>3029</v>
      </c>
      <c r="CH1" s="736" t="s">
        <v>2970</v>
      </c>
      <c r="CI1" s="736" t="s">
        <v>3030</v>
      </c>
      <c r="CJ1" s="736" t="s">
        <v>3030</v>
      </c>
      <c r="CK1" s="736" t="s">
        <v>3008</v>
      </c>
      <c r="CL1" s="736" t="s">
        <v>3009</v>
      </c>
      <c r="CM1" s="736" t="s">
        <v>3014</v>
      </c>
      <c r="CN1" s="736" t="s">
        <v>3015</v>
      </c>
      <c r="CO1" s="736" t="s">
        <v>3022</v>
      </c>
      <c r="CR1" s="753" t="s">
        <v>3088</v>
      </c>
      <c r="CU1" s="753" t="s">
        <v>3055</v>
      </c>
      <c r="DN1" s="753" t="s">
        <v>3055</v>
      </c>
    </row>
    <row r="2" spans="1:138">
      <c r="E2" s="937" t="s">
        <v>3062</v>
      </c>
      <c r="F2" s="937"/>
      <c r="G2" s="937"/>
      <c r="I2" s="742" t="s">
        <v>3045</v>
      </c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  <c r="AZ2" s="741"/>
      <c r="BA2" s="741"/>
      <c r="BB2" s="741"/>
      <c r="BC2" s="741"/>
      <c r="BD2" s="741"/>
      <c r="BE2" s="741"/>
      <c r="BF2" s="741"/>
      <c r="BG2" s="741"/>
      <c r="BH2" s="741"/>
      <c r="BI2" s="741"/>
      <c r="BJ2" s="741"/>
      <c r="BK2" s="741"/>
      <c r="BL2" s="741"/>
      <c r="BM2" s="741"/>
      <c r="BN2" s="741"/>
      <c r="BO2" s="741"/>
      <c r="BP2" s="741"/>
      <c r="BQ2" s="741"/>
      <c r="BR2" s="741"/>
      <c r="BS2" s="741"/>
      <c r="BT2" s="741"/>
      <c r="BU2" s="741"/>
      <c r="BV2" s="741"/>
      <c r="BW2" s="741"/>
      <c r="BX2" s="741"/>
      <c r="BY2" s="741"/>
      <c r="BZ2" s="741"/>
      <c r="CA2" s="741"/>
      <c r="CB2" s="741"/>
      <c r="CC2" s="741"/>
      <c r="CD2" s="741"/>
      <c r="CE2" s="741"/>
      <c r="CF2" s="741"/>
      <c r="CG2" s="741"/>
      <c r="CH2" s="741"/>
      <c r="CI2" s="741"/>
      <c r="CJ2" s="741"/>
      <c r="CK2" s="741"/>
      <c r="CL2" s="741"/>
      <c r="CM2" s="741"/>
      <c r="CN2" s="741"/>
      <c r="CO2" s="741"/>
      <c r="CP2" s="741"/>
      <c r="CQ2" s="741"/>
      <c r="CR2" s="741"/>
      <c r="CS2" s="741"/>
      <c r="CT2" s="675"/>
      <c r="CU2" s="755" t="s">
        <v>3062</v>
      </c>
      <c r="CV2" s="755"/>
      <c r="CW2" s="755"/>
      <c r="CX2" s="738" t="s">
        <v>396</v>
      </c>
      <c r="DB2" s="742" t="s">
        <v>3045</v>
      </c>
      <c r="DC2" s="741"/>
      <c r="DD2" s="741"/>
      <c r="DE2" s="741"/>
      <c r="DF2" s="741"/>
      <c r="DG2" s="741"/>
      <c r="DH2" s="741"/>
      <c r="DI2" s="741"/>
      <c r="DJ2" s="741"/>
      <c r="DK2" s="741"/>
      <c r="DL2" s="741"/>
      <c r="DN2" s="782" t="s">
        <v>396</v>
      </c>
      <c r="DP2" s="937" t="s">
        <v>445</v>
      </c>
      <c r="DQ2" s="937"/>
      <c r="DR2" s="937"/>
      <c r="DS2" s="755"/>
      <c r="DT2" s="937" t="s">
        <v>449</v>
      </c>
      <c r="DU2" s="937"/>
      <c r="DV2" s="937"/>
      <c r="DX2" s="937" t="s">
        <v>456</v>
      </c>
      <c r="DY2" s="937"/>
      <c r="DZ2" s="937"/>
      <c r="EA2" s="755"/>
      <c r="EB2" s="937" t="s">
        <v>457</v>
      </c>
      <c r="EC2" s="937"/>
      <c r="ED2" s="937"/>
      <c r="EF2" s="937" t="s">
        <v>458</v>
      </c>
      <c r="EG2" s="937"/>
      <c r="EH2" s="937"/>
    </row>
    <row r="3" spans="1:138" ht="51">
      <c r="A3" s="1" t="s">
        <v>13</v>
      </c>
      <c r="E3" s="57">
        <v>43466</v>
      </c>
      <c r="G3" s="57">
        <v>43646</v>
      </c>
      <c r="I3" s="743">
        <v>43465</v>
      </c>
      <c r="J3" s="744" t="s">
        <v>3046</v>
      </c>
      <c r="K3" s="752" t="s">
        <v>3056</v>
      </c>
      <c r="L3" s="752" t="s">
        <v>3057</v>
      </c>
      <c r="M3" s="752" t="s">
        <v>3058</v>
      </c>
      <c r="N3" s="752" t="s">
        <v>3059</v>
      </c>
      <c r="O3" s="752" t="s">
        <v>3060</v>
      </c>
      <c r="P3" s="752" t="s">
        <v>3064</v>
      </c>
      <c r="Q3" s="752" t="s">
        <v>3065</v>
      </c>
      <c r="R3" s="752" t="s">
        <v>3066</v>
      </c>
      <c r="S3" s="752" t="s">
        <v>3067</v>
      </c>
      <c r="T3" s="752" t="s">
        <v>3068</v>
      </c>
      <c r="U3" s="752" t="s">
        <v>3069</v>
      </c>
      <c r="V3" s="752" t="s">
        <v>3070</v>
      </c>
      <c r="W3" s="752" t="s">
        <v>3071</v>
      </c>
      <c r="X3" s="752" t="s">
        <v>3072</v>
      </c>
      <c r="Y3" s="752" t="s">
        <v>3073</v>
      </c>
      <c r="Z3" s="752" t="s">
        <v>3074</v>
      </c>
      <c r="AA3" s="752" t="s">
        <v>3075</v>
      </c>
      <c r="AB3" s="752" t="s">
        <v>3076</v>
      </c>
      <c r="AC3" s="752" t="s">
        <v>3077</v>
      </c>
      <c r="AD3" s="752" t="s">
        <v>3078</v>
      </c>
      <c r="AE3" s="752" t="s">
        <v>3079</v>
      </c>
      <c r="AF3" s="752" t="s">
        <v>3080</v>
      </c>
      <c r="AG3" s="752" t="s">
        <v>3081</v>
      </c>
      <c r="AH3" s="752" t="s">
        <v>3082</v>
      </c>
      <c r="AI3" s="752" t="s">
        <v>3083</v>
      </c>
      <c r="AJ3" s="752" t="s">
        <v>3084</v>
      </c>
      <c r="AK3" s="752" t="s">
        <v>3085</v>
      </c>
      <c r="AL3" s="752" t="s">
        <v>3086</v>
      </c>
      <c r="AM3" s="752" t="s">
        <v>3087</v>
      </c>
      <c r="AN3" s="752" t="s">
        <v>3089</v>
      </c>
      <c r="AO3" s="752" t="s">
        <v>3090</v>
      </c>
      <c r="AP3" s="752" t="s">
        <v>3091</v>
      </c>
      <c r="AQ3" s="752" t="s">
        <v>3093</v>
      </c>
      <c r="AR3" s="752" t="s">
        <v>3092</v>
      </c>
      <c r="AS3" s="752" t="s">
        <v>3094</v>
      </c>
      <c r="AT3" s="752" t="s">
        <v>3095</v>
      </c>
      <c r="AU3" s="752" t="s">
        <v>3096</v>
      </c>
      <c r="AV3" s="752" t="s">
        <v>3098</v>
      </c>
      <c r="AW3" s="752" t="s">
        <v>3099</v>
      </c>
      <c r="AX3" s="752" t="s">
        <v>3100</v>
      </c>
      <c r="AY3" s="752" t="s">
        <v>3101</v>
      </c>
      <c r="AZ3" s="752" t="s">
        <v>3101</v>
      </c>
      <c r="BA3" s="752" t="s">
        <v>3102</v>
      </c>
      <c r="BB3" s="752" t="s">
        <v>3103</v>
      </c>
      <c r="BC3" s="752" t="s">
        <v>3104</v>
      </c>
      <c r="BD3" s="752" t="s">
        <v>3105</v>
      </c>
      <c r="BE3" s="752" t="s">
        <v>3106</v>
      </c>
      <c r="BF3" s="752" t="s">
        <v>3107</v>
      </c>
      <c r="BG3" s="752" t="s">
        <v>3108</v>
      </c>
      <c r="BH3" s="752" t="s">
        <v>3109</v>
      </c>
      <c r="BI3" s="752" t="s">
        <v>3110</v>
      </c>
      <c r="BJ3" s="752" t="s">
        <v>3111</v>
      </c>
      <c r="BK3" s="752" t="s">
        <v>3112</v>
      </c>
      <c r="BL3" s="752" t="s">
        <v>3113</v>
      </c>
      <c r="BM3" s="752" t="s">
        <v>3114</v>
      </c>
      <c r="BN3" s="752" t="s">
        <v>3115</v>
      </c>
      <c r="BO3" s="752" t="s">
        <v>3116</v>
      </c>
      <c r="BP3" s="752" t="s">
        <v>3117</v>
      </c>
      <c r="BQ3" s="752" t="s">
        <v>3118</v>
      </c>
      <c r="BR3" s="752" t="s">
        <v>3119</v>
      </c>
      <c r="BS3" s="752" t="s">
        <v>3120</v>
      </c>
      <c r="BT3" s="752" t="s">
        <v>3121</v>
      </c>
      <c r="BU3" s="752" t="s">
        <v>3122</v>
      </c>
      <c r="BV3" s="752" t="s">
        <v>3123</v>
      </c>
      <c r="BW3" s="752" t="s">
        <v>3124</v>
      </c>
      <c r="BX3" s="752" t="s">
        <v>3125</v>
      </c>
      <c r="BY3" s="752" t="s">
        <v>3126</v>
      </c>
      <c r="BZ3" s="752" t="s">
        <v>3127</v>
      </c>
      <c r="CA3" s="752" t="s">
        <v>3128</v>
      </c>
      <c r="CB3" s="752" t="s">
        <v>3129</v>
      </c>
      <c r="CC3" s="752" t="s">
        <v>3130</v>
      </c>
      <c r="CD3" s="752" t="s">
        <v>3131</v>
      </c>
      <c r="CE3" s="752" t="s">
        <v>3132</v>
      </c>
      <c r="CF3" s="752" t="s">
        <v>3133</v>
      </c>
      <c r="CG3" s="752" t="s">
        <v>3134</v>
      </c>
      <c r="CH3" s="752" t="s">
        <v>3135</v>
      </c>
      <c r="CI3" s="752" t="s">
        <v>3136</v>
      </c>
      <c r="CJ3" s="752" t="s">
        <v>3137</v>
      </c>
      <c r="CK3" s="752" t="s">
        <v>3138</v>
      </c>
      <c r="CL3" s="752" t="s">
        <v>3139</v>
      </c>
      <c r="CM3" s="752" t="s">
        <v>3140</v>
      </c>
      <c r="CN3" s="752" t="s">
        <v>3141</v>
      </c>
      <c r="CO3" s="752" t="s">
        <v>3142</v>
      </c>
      <c r="CP3" s="753" t="s">
        <v>3061</v>
      </c>
      <c r="CQ3" s="753" t="s">
        <v>3097</v>
      </c>
      <c r="CR3" s="757" t="s">
        <v>2454</v>
      </c>
      <c r="CS3" s="753"/>
      <c r="CT3" s="754"/>
      <c r="CU3" s="57">
        <v>43646</v>
      </c>
      <c r="CX3" s="57">
        <v>43466</v>
      </c>
      <c r="CZ3" s="57">
        <v>43646</v>
      </c>
      <c r="DB3" s="743">
        <v>43465</v>
      </c>
      <c r="DC3" s="744" t="s">
        <v>3046</v>
      </c>
      <c r="DD3" s="745" t="s">
        <v>3047</v>
      </c>
      <c r="DE3" s="745" t="s">
        <v>3048</v>
      </c>
      <c r="DF3" s="745" t="s">
        <v>3049</v>
      </c>
      <c r="DG3" s="745" t="s">
        <v>3051</v>
      </c>
      <c r="DH3" s="745" t="s">
        <v>3052</v>
      </c>
      <c r="DI3" s="745" t="s">
        <v>3053</v>
      </c>
      <c r="DJ3" s="745" t="s">
        <v>3054</v>
      </c>
      <c r="DK3" s="746" t="s">
        <v>3061</v>
      </c>
      <c r="DL3" s="746" t="s">
        <v>3050</v>
      </c>
      <c r="DN3" s="57">
        <v>43646</v>
      </c>
      <c r="DP3" s="57">
        <v>43466</v>
      </c>
      <c r="DR3" s="57">
        <v>43646</v>
      </c>
      <c r="DS3" s="57"/>
      <c r="DT3" s="57">
        <v>43466</v>
      </c>
      <c r="DV3" s="57">
        <v>43646</v>
      </c>
      <c r="DX3" s="57">
        <v>43466</v>
      </c>
      <c r="DZ3" s="57">
        <v>43646</v>
      </c>
      <c r="EA3" s="57"/>
      <c r="EB3" s="57">
        <v>43466</v>
      </c>
      <c r="ED3" s="57">
        <v>43646</v>
      </c>
      <c r="EF3" s="57">
        <v>43466</v>
      </c>
      <c r="EH3" s="57">
        <v>43646</v>
      </c>
    </row>
    <row r="4" spans="1:138">
      <c r="A4" s="1" t="s">
        <v>14</v>
      </c>
    </row>
    <row r="5" spans="1:138" ht="15">
      <c r="A5" s="2" t="s">
        <v>7</v>
      </c>
      <c r="E5" s="41" t="e">
        <f>ROUND(SUMIF(#REF!,A5,#REF!),0)</f>
        <v>#REF!</v>
      </c>
      <c r="F5" s="41"/>
      <c r="G5" s="41" t="e">
        <f>ROUND(SUMIF(#REF!,A5,#REF!),0)</f>
        <v>#REF!</v>
      </c>
      <c r="I5" s="41">
        <v>46441143</v>
      </c>
      <c r="J5" s="41" t="e">
        <f>E5-I5</f>
        <v>#REF!</v>
      </c>
      <c r="K5" s="2" t="e">
        <f>-#REF!</f>
        <v>#REF!</v>
      </c>
      <c r="L5" s="2" t="e">
        <f>#REF!</f>
        <v>#REF!</v>
      </c>
      <c r="M5" s="2" t="e">
        <f>-#REF!</f>
        <v>#REF!</v>
      </c>
      <c r="N5" s="2" t="e">
        <f>-#REF!</f>
        <v>#REF!</v>
      </c>
      <c r="O5" s="2" t="e">
        <f>#REF!</f>
        <v>#REF!</v>
      </c>
      <c r="P5" s="41" t="e">
        <f>#REF!</f>
        <v>#REF!</v>
      </c>
      <c r="Q5" s="2" t="e">
        <f>#REF!</f>
        <v>#REF!</v>
      </c>
      <c r="R5" s="41" t="e">
        <f>-#REF!</f>
        <v>#REF!</v>
      </c>
      <c r="S5" s="41" t="e">
        <f>-#REF!</f>
        <v>#REF!</v>
      </c>
      <c r="T5" s="41" t="e">
        <f>-#REF!</f>
        <v>#REF!</v>
      </c>
      <c r="U5" s="41" t="e">
        <f>#REF!</f>
        <v>#REF!</v>
      </c>
      <c r="V5" s="41" t="e">
        <f>#REF!</f>
        <v>#REF!</v>
      </c>
      <c r="W5" s="41" t="e">
        <f>#REF!</f>
        <v>#REF!</v>
      </c>
      <c r="X5" s="41" t="e">
        <f>-#REF!</f>
        <v>#REF!</v>
      </c>
      <c r="Y5" s="41" t="e">
        <f>#REF!</f>
        <v>#REF!</v>
      </c>
      <c r="Z5" s="41" t="e">
        <f>#REF!+#REF!</f>
        <v>#REF!</v>
      </c>
      <c r="AA5" s="41" t="e">
        <f>-#REF!-#REF!</f>
        <v>#REF!</v>
      </c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2" t="e">
        <f t="shared" ref="CP5:CP15" si="0">SUM(K5:CO5)</f>
        <v>#REF!</v>
      </c>
      <c r="CQ5" s="62" t="e">
        <f t="shared" ref="CQ5:CQ15" si="1">CP5+J5</f>
        <v>#REF!</v>
      </c>
      <c r="CR5" s="62"/>
      <c r="CS5" s="62"/>
      <c r="CU5" s="41" t="e">
        <f>G5+CP5</f>
        <v>#REF!</v>
      </c>
      <c r="CX5" s="41" t="e">
        <f>ROUND(SUMIF(#REF!,A5,#REF!),0)</f>
        <v>#REF!</v>
      </c>
      <c r="CZ5" s="41" t="e">
        <f>ROUND(SUMIF(#REF!,'2019'!A5,#REF!),0)</f>
        <v>#REF!</v>
      </c>
      <c r="DB5" s="41">
        <v>34546054</v>
      </c>
      <c r="DC5" s="5" t="e">
        <f>CX5-DB5</f>
        <v>#REF!</v>
      </c>
      <c r="DD5" s="41" t="e">
        <f>-#REF!</f>
        <v>#REF!</v>
      </c>
      <c r="DK5" s="41" t="e">
        <f>SUM(DD5:DJ5)</f>
        <v>#REF!</v>
      </c>
      <c r="DL5" s="41" t="e">
        <f>DK5+DC5</f>
        <v>#REF!</v>
      </c>
      <c r="DN5" s="41" t="e">
        <f>CZ5+DK5</f>
        <v>#REF!</v>
      </c>
    </row>
    <row r="6" spans="1:138" ht="15">
      <c r="A6" s="2" t="s">
        <v>2959</v>
      </c>
      <c r="E6" s="41" t="e">
        <f>ROUND(SUMIF(#REF!,A6,#REF!),0)</f>
        <v>#REF!</v>
      </c>
      <c r="F6" s="41"/>
      <c r="G6" s="41" t="e">
        <f>ROUND(SUMIF(#REF!,A6,#REF!),0)</f>
        <v>#REF!</v>
      </c>
      <c r="I6" s="41">
        <v>87038</v>
      </c>
      <c r="J6" s="41" t="e">
        <f t="shared" ref="J6:J15" si="2">E6-I6</f>
        <v>#REF!</v>
      </c>
      <c r="N6" s="2" t="e">
        <f>-N5</f>
        <v>#REF!</v>
      </c>
      <c r="P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2" t="e">
        <f t="shared" si="0"/>
        <v>#REF!</v>
      </c>
      <c r="CQ6" s="62" t="e">
        <f t="shared" si="1"/>
        <v>#REF!</v>
      </c>
      <c r="CR6" s="62"/>
      <c r="CS6" s="62"/>
      <c r="CU6" s="41" t="e">
        <f t="shared" ref="CU6:CU15" si="3">G6+CP6</f>
        <v>#REF!</v>
      </c>
      <c r="CX6" s="41" t="e">
        <f>ROUND(SUMIF(#REF!,A6,#REF!),0)</f>
        <v>#REF!</v>
      </c>
      <c r="CZ6" s="41" t="e">
        <f>ROUND(SUMIF(#REF!,'2019'!A6,#REF!),0)</f>
        <v>#REF!</v>
      </c>
      <c r="DB6" s="41">
        <v>0</v>
      </c>
      <c r="DC6" s="5" t="e">
        <f t="shared" ref="DC6:DC15" si="4">CX6-DB6</f>
        <v>#REF!</v>
      </c>
      <c r="DD6" s="41"/>
      <c r="DK6" s="41">
        <f>SUM(DD6:DJ6)</f>
        <v>0</v>
      </c>
      <c r="DL6" s="41" t="e">
        <f t="shared" ref="DL6:DL15" si="5">DK6+DC6</f>
        <v>#REF!</v>
      </c>
      <c r="DN6" s="41" t="e">
        <f>CZ6+DK6</f>
        <v>#REF!</v>
      </c>
    </row>
    <row r="7" spans="1:138" ht="15">
      <c r="A7" s="2" t="s">
        <v>8</v>
      </c>
      <c r="E7" s="41" t="e">
        <f>ROUND(SUMIF(#REF!,A7,#REF!),0)</f>
        <v>#REF!</v>
      </c>
      <c r="F7" s="41"/>
      <c r="G7" s="41" t="e">
        <f>ROUND(SUMIF(#REF!,A7,#REF!),0)</f>
        <v>#REF!</v>
      </c>
      <c r="I7" s="41">
        <v>206592</v>
      </c>
      <c r="J7" s="41" t="e">
        <f>E7-I7</f>
        <v>#REF!</v>
      </c>
      <c r="P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2">
        <f t="shared" si="0"/>
        <v>0</v>
      </c>
      <c r="CQ7" s="62" t="e">
        <f t="shared" si="1"/>
        <v>#REF!</v>
      </c>
      <c r="CR7" s="62"/>
      <c r="CS7" s="62"/>
      <c r="CU7" s="41" t="e">
        <f t="shared" si="3"/>
        <v>#REF!</v>
      </c>
      <c r="CX7" s="41" t="e">
        <f>ROUND(SUMIF(#REF!,A7,#REF!),0)</f>
        <v>#REF!</v>
      </c>
      <c r="CZ7" s="41" t="e">
        <f>ROUND(SUMIF(#REF!,'2019'!A7,#REF!),0)</f>
        <v>#REF!</v>
      </c>
      <c r="DB7" s="41">
        <v>0</v>
      </c>
      <c r="DC7" s="5" t="e">
        <f t="shared" si="4"/>
        <v>#REF!</v>
      </c>
      <c r="DD7" s="41"/>
      <c r="DK7" s="41">
        <f>SUM(DD7:DJ7)</f>
        <v>0</v>
      </c>
      <c r="DL7" s="41" t="e">
        <f t="shared" si="5"/>
        <v>#REF!</v>
      </c>
      <c r="DN7" s="41" t="e">
        <f>CZ7+DK7</f>
        <v>#REF!</v>
      </c>
    </row>
    <row r="8" spans="1:138" ht="15">
      <c r="A8" s="2" t="s">
        <v>392</v>
      </c>
      <c r="E8" s="41" t="e">
        <f>ROUND(SUMIF(#REF!,A8,#REF!),0)</f>
        <v>#REF!</v>
      </c>
      <c r="F8" s="41"/>
      <c r="G8" s="41" t="e">
        <f>ROUND(SUMIF(#REF!,A8,#REF!),0)</f>
        <v>#REF!</v>
      </c>
      <c r="I8" s="41">
        <v>166497</v>
      </c>
      <c r="J8" s="41" t="e">
        <f t="shared" si="2"/>
        <v>#REF!</v>
      </c>
      <c r="P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2">
        <f t="shared" si="0"/>
        <v>0</v>
      </c>
      <c r="CQ8" s="62" t="e">
        <f t="shared" si="1"/>
        <v>#REF!</v>
      </c>
      <c r="CR8" s="62"/>
      <c r="CS8" s="62"/>
      <c r="CU8" s="41" t="e">
        <f t="shared" si="3"/>
        <v>#REF!</v>
      </c>
      <c r="CX8" s="41" t="e">
        <f>ROUND(SUMIF(#REF!,A8,#REF!),0)</f>
        <v>#REF!</v>
      </c>
      <c r="CZ8" s="41" t="e">
        <f>ROUND(SUMIF(#REF!,'2019'!A8,#REF!),0)</f>
        <v>#REF!</v>
      </c>
      <c r="DB8" s="41">
        <v>0</v>
      </c>
      <c r="DC8" s="5" t="e">
        <f t="shared" si="4"/>
        <v>#REF!</v>
      </c>
      <c r="DD8" s="41"/>
      <c r="DK8" s="41">
        <f>SUM(DD8:DJ8)</f>
        <v>0</v>
      </c>
      <c r="DL8" s="41" t="e">
        <f t="shared" si="5"/>
        <v>#REF!</v>
      </c>
      <c r="DN8" s="41" t="e">
        <f t="shared" ref="DN8:DN15" si="6">CZ8+DK8</f>
        <v>#REF!</v>
      </c>
    </row>
    <row r="9" spans="1:138" ht="15">
      <c r="A9" s="2" t="s">
        <v>9</v>
      </c>
      <c r="E9" s="41" t="e">
        <f>ROUND(SUMIF(#REF!,A9,#REF!),0)</f>
        <v>#REF!</v>
      </c>
      <c r="F9" s="41"/>
      <c r="G9" s="41" t="e">
        <f>ROUND(SUMIF(#REF!,A9,#REF!),0)</f>
        <v>#REF!</v>
      </c>
      <c r="I9" s="41">
        <v>1109884</v>
      </c>
      <c r="J9" s="41" t="e">
        <f t="shared" si="2"/>
        <v>#REF!</v>
      </c>
      <c r="P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2">
        <f t="shared" si="0"/>
        <v>0</v>
      </c>
      <c r="CQ9" s="62" t="e">
        <f t="shared" si="1"/>
        <v>#REF!</v>
      </c>
      <c r="CR9" s="62"/>
      <c r="CS9" s="62"/>
      <c r="CU9" s="41" t="e">
        <f t="shared" si="3"/>
        <v>#REF!</v>
      </c>
      <c r="CX9" s="41" t="e">
        <f>ROUND(SUMIF(#REF!,A9,#REF!),0)</f>
        <v>#REF!</v>
      </c>
      <c r="CZ9" s="41" t="e">
        <f>ROUND(SUMIF(#REF!,'2019'!A9,#REF!),0)-1</f>
        <v>#REF!</v>
      </c>
      <c r="DB9" s="41">
        <v>31646</v>
      </c>
      <c r="DC9" s="5" t="e">
        <f t="shared" si="4"/>
        <v>#REF!</v>
      </c>
      <c r="DD9" s="41"/>
      <c r="DK9" s="41">
        <f t="shared" ref="DK9:DK15" si="7">SUM(DD9:DJ9)</f>
        <v>0</v>
      </c>
      <c r="DL9" s="41" t="e">
        <f t="shared" si="5"/>
        <v>#REF!</v>
      </c>
      <c r="DN9" s="41" t="e">
        <f t="shared" si="6"/>
        <v>#REF!</v>
      </c>
    </row>
    <row r="10" spans="1:138" ht="15">
      <c r="A10" s="2" t="s">
        <v>10</v>
      </c>
      <c r="E10" s="41" t="e">
        <f>ROUND(SUMIF(#REF!,A10,#REF!),0)</f>
        <v>#REF!</v>
      </c>
      <c r="F10" s="41"/>
      <c r="G10" s="41" t="e">
        <f>ROUND(SUMIF(#REF!,A10,#REF!),0)</f>
        <v>#REF!</v>
      </c>
      <c r="I10" s="41">
        <v>1777192</v>
      </c>
      <c r="J10" s="41" t="e">
        <f t="shared" si="2"/>
        <v>#REF!</v>
      </c>
      <c r="P10" s="41"/>
      <c r="T10" s="41"/>
      <c r="U10" s="41"/>
      <c r="V10" s="41"/>
      <c r="W10" s="41"/>
      <c r="X10" s="41"/>
      <c r="Y10" s="41"/>
      <c r="Z10" s="41"/>
      <c r="AA10" s="41"/>
      <c r="AB10" s="41" t="e">
        <f>#REF!</f>
        <v>#REF!</v>
      </c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2" t="e">
        <f t="shared" si="0"/>
        <v>#REF!</v>
      </c>
      <c r="CQ10" s="62" t="e">
        <f t="shared" si="1"/>
        <v>#REF!</v>
      </c>
      <c r="CR10" s="62"/>
      <c r="CS10" s="62"/>
      <c r="CU10" s="41" t="e">
        <f t="shared" si="3"/>
        <v>#REF!</v>
      </c>
      <c r="CX10" s="41" t="e">
        <f>ROUND(SUMIF(#REF!,A10,#REF!),0)</f>
        <v>#REF!</v>
      </c>
      <c r="CZ10" s="41" t="e">
        <f>ROUND(SUMIF(#REF!,'2019'!A10,#REF!),0)</f>
        <v>#REF!</v>
      </c>
      <c r="DB10" s="41">
        <v>0</v>
      </c>
      <c r="DC10" s="5" t="e">
        <f t="shared" si="4"/>
        <v>#REF!</v>
      </c>
      <c r="DD10" s="41"/>
      <c r="DK10" s="41">
        <f t="shared" si="7"/>
        <v>0</v>
      </c>
      <c r="DL10" s="41" t="e">
        <f t="shared" si="5"/>
        <v>#REF!</v>
      </c>
      <c r="DN10" s="41" t="e">
        <f t="shared" si="6"/>
        <v>#REF!</v>
      </c>
    </row>
    <row r="11" spans="1:138" ht="15">
      <c r="A11" s="2" t="s">
        <v>18</v>
      </c>
      <c r="E11" s="41" t="e">
        <f>ROUND(SUMIF(#REF!,A11,#REF!),0)</f>
        <v>#REF!</v>
      </c>
      <c r="F11" s="41"/>
      <c r="G11" s="41" t="e">
        <f>ROUND(SUMIF(#REF!,A11,#REF!),0)</f>
        <v>#REF!</v>
      </c>
      <c r="I11" s="41">
        <v>0</v>
      </c>
      <c r="J11" s="41" t="e">
        <f t="shared" si="2"/>
        <v>#REF!</v>
      </c>
      <c r="P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2">
        <f t="shared" si="0"/>
        <v>0</v>
      </c>
      <c r="CQ11" s="62" t="e">
        <f t="shared" si="1"/>
        <v>#REF!</v>
      </c>
      <c r="CR11" s="62"/>
      <c r="CS11" s="62"/>
      <c r="CU11" s="41" t="e">
        <f t="shared" si="3"/>
        <v>#REF!</v>
      </c>
      <c r="CX11" s="41" t="e">
        <f>ROUND(SUMIF(#REF!,A11,#REF!),0)</f>
        <v>#REF!</v>
      </c>
      <c r="CZ11" s="41" t="e">
        <f>ROUND(SUMIF(#REF!,'2019'!A11,#REF!),0)</f>
        <v>#REF!</v>
      </c>
      <c r="DB11" s="41">
        <v>2488572</v>
      </c>
      <c r="DC11" s="5" t="e">
        <f t="shared" si="4"/>
        <v>#REF!</v>
      </c>
      <c r="DD11" s="41"/>
      <c r="DK11" s="41">
        <f t="shared" si="7"/>
        <v>0</v>
      </c>
      <c r="DL11" s="41" t="e">
        <f t="shared" si="5"/>
        <v>#REF!</v>
      </c>
      <c r="DN11" s="41" t="e">
        <f t="shared" si="6"/>
        <v>#REF!</v>
      </c>
    </row>
    <row r="12" spans="1:138" ht="15">
      <c r="A12" s="2" t="s">
        <v>3063</v>
      </c>
      <c r="E12" s="41" t="e">
        <f>ROUND(SUMIF(#REF!,A12,#REF!),0)</f>
        <v>#REF!</v>
      </c>
      <c r="F12" s="41"/>
      <c r="G12" s="41" t="e">
        <f>ROUND(SUMIF(#REF!,A12,#REF!),0)</f>
        <v>#REF!</v>
      </c>
      <c r="I12" s="41">
        <v>0</v>
      </c>
      <c r="J12" s="41" t="e">
        <f t="shared" si="2"/>
        <v>#REF!</v>
      </c>
      <c r="P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2">
        <f t="shared" si="0"/>
        <v>0</v>
      </c>
      <c r="CQ12" s="62" t="e">
        <f t="shared" si="1"/>
        <v>#REF!</v>
      </c>
      <c r="CR12" s="62"/>
      <c r="CS12" s="62"/>
      <c r="CU12" s="41" t="e">
        <f t="shared" si="3"/>
        <v>#REF!</v>
      </c>
      <c r="CX12" s="41" t="e">
        <f>ROUND(SUMIF(#REF!,A12,#REF!),0)</f>
        <v>#REF!</v>
      </c>
      <c r="CZ12" s="41">
        <v>0</v>
      </c>
      <c r="DB12" s="41">
        <v>0</v>
      </c>
      <c r="DC12" s="5" t="e">
        <f t="shared" si="4"/>
        <v>#REF!</v>
      </c>
      <c r="DD12" s="41"/>
      <c r="DK12" s="41">
        <f t="shared" si="7"/>
        <v>0</v>
      </c>
      <c r="DL12" s="41" t="e">
        <f t="shared" si="5"/>
        <v>#REF!</v>
      </c>
      <c r="DN12" s="41">
        <f t="shared" si="6"/>
        <v>0</v>
      </c>
    </row>
    <row r="13" spans="1:138" ht="15">
      <c r="A13" s="2" t="s">
        <v>21</v>
      </c>
      <c r="E13" s="41" t="e">
        <f>ROUND(SUMIF(#REF!,A13,#REF!),0)</f>
        <v>#REF!</v>
      </c>
      <c r="F13" s="41"/>
      <c r="G13" s="41" t="e">
        <f>ROUND(SUMIF(#REF!,A13,#REF!),0)</f>
        <v>#REF!</v>
      </c>
      <c r="I13" s="41">
        <v>627817</v>
      </c>
      <c r="J13" s="41" t="e">
        <f t="shared" si="2"/>
        <v>#REF!</v>
      </c>
      <c r="P13" s="41" t="e">
        <f>ББ!#REF!</f>
        <v>#REF!</v>
      </c>
      <c r="T13" s="41"/>
      <c r="U13" s="41"/>
      <c r="V13" s="41"/>
      <c r="W13" s="41"/>
      <c r="X13" s="41"/>
      <c r="Y13" s="41"/>
      <c r="Z13" s="41"/>
      <c r="AA13" s="41"/>
      <c r="AB13" s="41"/>
      <c r="AC13" s="41" t="e">
        <f>-#REF!</f>
        <v>#REF!</v>
      </c>
      <c r="AD13" s="41" t="e">
        <f>-#REF!</f>
        <v>#REF!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758" t="e">
        <f t="shared" si="0"/>
        <v>#REF!</v>
      </c>
      <c r="CQ13" s="62" t="e">
        <f t="shared" si="1"/>
        <v>#REF!</v>
      </c>
      <c r="CR13" s="62" t="e">
        <f>#REF!-#REF!</f>
        <v>#REF!</v>
      </c>
      <c r="CS13" s="62" t="e">
        <f>CR13+CQ13</f>
        <v>#REF!</v>
      </c>
      <c r="CU13" s="41" t="e">
        <f t="shared" si="3"/>
        <v>#REF!</v>
      </c>
      <c r="CX13" s="41" t="e">
        <f>ROUND(SUMIF(#REF!,A13,#REF!),0)</f>
        <v>#REF!</v>
      </c>
      <c r="CZ13" s="41" t="e">
        <f>ROUND(SUMIF(#REF!,'2019'!A13,#REF!),0)</f>
        <v>#REF!</v>
      </c>
      <c r="DB13" s="41">
        <v>495714</v>
      </c>
      <c r="DC13" s="5" t="e">
        <f t="shared" si="4"/>
        <v>#REF!</v>
      </c>
      <c r="DD13" s="41"/>
      <c r="DK13" s="41">
        <f t="shared" si="7"/>
        <v>0</v>
      </c>
      <c r="DL13" s="41" t="e">
        <f t="shared" si="5"/>
        <v>#REF!</v>
      </c>
      <c r="DN13" s="750" t="e">
        <f t="shared" si="6"/>
        <v>#REF!</v>
      </c>
    </row>
    <row r="14" spans="1:138" ht="15">
      <c r="A14" s="674" t="s">
        <v>389</v>
      </c>
      <c r="E14" s="41" t="e">
        <f>ROUND(SUMIF(#REF!,A14,#REF!),0)</f>
        <v>#REF!</v>
      </c>
      <c r="F14" s="41"/>
      <c r="G14" s="41" t="e">
        <f>ROUND(SUMIF(#REF!,A14,#REF!),0)</f>
        <v>#REF!</v>
      </c>
      <c r="I14" s="41">
        <v>145297</v>
      </c>
      <c r="J14" s="41" t="e">
        <f t="shared" si="2"/>
        <v>#REF!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 t="e">
        <f>-#REF!</f>
        <v>#REF!</v>
      </c>
      <c r="AF14" s="41" t="e">
        <f>-#REF!</f>
        <v>#REF!</v>
      </c>
      <c r="AG14" s="41">
        <v>-428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2" t="e">
        <f t="shared" si="0"/>
        <v>#REF!</v>
      </c>
      <c r="CQ14" s="62" t="e">
        <f t="shared" si="1"/>
        <v>#REF!</v>
      </c>
      <c r="CR14" s="62"/>
      <c r="CS14" s="62"/>
      <c r="CU14" s="41" t="e">
        <f t="shared" si="3"/>
        <v>#REF!</v>
      </c>
      <c r="CX14" s="41" t="e">
        <f>ROUND(SUMIF(#REF!,A14,#REF!),0)</f>
        <v>#REF!</v>
      </c>
      <c r="CZ14" s="41" t="e">
        <f>ROUND(SUMIF(#REF!,'2019'!A14,#REF!),0)</f>
        <v>#REF!</v>
      </c>
      <c r="DB14" s="41">
        <v>16404</v>
      </c>
      <c r="DC14" s="5" t="e">
        <f t="shared" si="4"/>
        <v>#REF!</v>
      </c>
      <c r="DD14" s="41"/>
      <c r="DK14" s="41">
        <f t="shared" si="7"/>
        <v>0</v>
      </c>
      <c r="DL14" s="41" t="e">
        <f t="shared" si="5"/>
        <v>#REF!</v>
      </c>
      <c r="DN14" s="41" t="e">
        <f>CZ14+DK14</f>
        <v>#REF!</v>
      </c>
    </row>
    <row r="15" spans="1:138" ht="15">
      <c r="A15" s="2" t="s">
        <v>2038</v>
      </c>
      <c r="E15" s="41" t="e">
        <f>ROUND(SUMIF(#REF!,A15,#REF!),0)</f>
        <v>#REF!</v>
      </c>
      <c r="F15" s="41"/>
      <c r="G15" s="41" t="e">
        <f>ROUND(SUMIF(#REF!,A15,#REF!),0)</f>
        <v>#REF!</v>
      </c>
      <c r="I15" s="41">
        <v>65739</v>
      </c>
      <c r="J15" s="41" t="e">
        <f t="shared" si="2"/>
        <v>#REF!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2">
        <f t="shared" si="0"/>
        <v>0</v>
      </c>
      <c r="CQ15" s="62" t="e">
        <f t="shared" si="1"/>
        <v>#REF!</v>
      </c>
      <c r="CR15" s="62"/>
      <c r="CS15" s="62"/>
      <c r="CU15" s="41" t="e">
        <f t="shared" si="3"/>
        <v>#REF!</v>
      </c>
      <c r="CX15" s="41" t="e">
        <f>ROUND(SUMIF(#REF!,A15,#REF!),0)</f>
        <v>#REF!</v>
      </c>
      <c r="CZ15" s="41" t="e">
        <f>ROUND(SUMIF(#REF!,'2019'!A15,#REF!),0)</f>
        <v>#REF!</v>
      </c>
      <c r="DB15" s="41">
        <v>0</v>
      </c>
      <c r="DC15" s="5" t="e">
        <f t="shared" si="4"/>
        <v>#REF!</v>
      </c>
      <c r="DD15" s="41"/>
      <c r="DK15" s="41">
        <f t="shared" si="7"/>
        <v>0</v>
      </c>
      <c r="DL15" s="41" t="e">
        <f t="shared" si="5"/>
        <v>#REF!</v>
      </c>
      <c r="DN15" s="41" t="e">
        <f t="shared" si="6"/>
        <v>#REF!</v>
      </c>
    </row>
    <row r="16" spans="1:138" ht="15.75" thickBot="1">
      <c r="A16" s="213"/>
      <c r="B16" s="213"/>
      <c r="C16" s="213"/>
      <c r="E16" s="42" t="e">
        <f>SUM(E5:E15)</f>
        <v>#REF!</v>
      </c>
      <c r="F16" s="1"/>
      <c r="G16" s="42" t="e">
        <f>SUM(G5:G15)</f>
        <v>#REF!</v>
      </c>
      <c r="I16" s="42">
        <f>SUM(I5:I15)</f>
        <v>50627199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213"/>
      <c r="CQ16" s="756"/>
      <c r="CR16" s="633"/>
      <c r="CS16" s="633"/>
      <c r="CU16" s="42" t="e">
        <f>SUM(CU5:CU15)</f>
        <v>#REF!</v>
      </c>
      <c r="CX16" s="42" t="e">
        <f>SUM(CX5:CX15)</f>
        <v>#REF!</v>
      </c>
      <c r="CZ16" s="42" t="e">
        <f>SUM(CZ5:CZ15)</f>
        <v>#REF!</v>
      </c>
      <c r="DB16" s="42">
        <f>SUM(DB5:DB15)</f>
        <v>37578390</v>
      </c>
      <c r="DC16" s="747"/>
      <c r="DD16" s="137"/>
      <c r="DE16" s="213"/>
      <c r="DF16" s="213"/>
      <c r="DG16" s="213"/>
      <c r="DH16" s="213"/>
      <c r="DI16" s="213"/>
      <c r="DJ16" s="213"/>
      <c r="DK16" s="213"/>
      <c r="DL16" s="137" t="e">
        <f>SUM(DL5:DL15)</f>
        <v>#REF!</v>
      </c>
      <c r="DN16" s="42" t="e">
        <f>SUM(DN5:DN15)</f>
        <v>#REF!</v>
      </c>
    </row>
    <row r="17" spans="1:118" ht="15.75" thickTop="1">
      <c r="I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Q17" s="218"/>
      <c r="CR17" s="218"/>
      <c r="CS17" s="218"/>
      <c r="DC17"/>
      <c r="DD17" s="41"/>
    </row>
    <row r="18" spans="1:118" ht="15">
      <c r="A18" s="6" t="s">
        <v>15</v>
      </c>
      <c r="I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Q18" s="218"/>
      <c r="CR18" s="218"/>
      <c r="CS18" s="218"/>
      <c r="DC18"/>
      <c r="DD18" s="41"/>
    </row>
    <row r="19" spans="1:118" ht="15">
      <c r="A19" s="2" t="s">
        <v>16</v>
      </c>
      <c r="E19" s="41" t="e">
        <f>ROUND(SUMIF(#REF!,A19,#REF!),0)</f>
        <v>#REF!</v>
      </c>
      <c r="F19" s="41"/>
      <c r="G19" s="41" t="e">
        <f>ROUND(SUMIF(#REF!,A19,#REF!),0)</f>
        <v>#REF!</v>
      </c>
      <c r="I19" s="41">
        <v>14886541</v>
      </c>
      <c r="J19" s="41" t="e">
        <f t="shared" ref="J19:J26" si="8">E19-I19</f>
        <v>#REF!</v>
      </c>
      <c r="K19" s="2" t="e">
        <f>#REF!</f>
        <v>#REF!</v>
      </c>
      <c r="L19" s="2" t="e">
        <f>#REF!</f>
        <v>#REF!</v>
      </c>
      <c r="O19" s="2" t="e">
        <f>#REF!</f>
        <v>#REF!</v>
      </c>
      <c r="S19" s="41" t="e">
        <f>#REF!</f>
        <v>#REF!</v>
      </c>
      <c r="T19" s="41" t="e">
        <f>#REF!</f>
        <v>#REF!</v>
      </c>
      <c r="U19" s="41"/>
      <c r="V19" s="41"/>
      <c r="W19" s="41"/>
      <c r="X19" s="41"/>
      <c r="Y19" s="41"/>
      <c r="Z19" s="41" t="e">
        <f>#REF!</f>
        <v>#REF!</v>
      </c>
      <c r="AA19" s="41"/>
      <c r="AB19" s="41"/>
      <c r="AC19" s="41"/>
      <c r="AD19" s="41"/>
      <c r="AE19" s="41"/>
      <c r="AF19" s="41"/>
      <c r="AG19" s="41"/>
      <c r="AH19" s="41" t="e">
        <f>-#REF!</f>
        <v>#REF!</v>
      </c>
      <c r="AI19" s="41" t="e">
        <f>-#REF!</f>
        <v>#REF!</v>
      </c>
      <c r="AJ19" s="41" t="e">
        <f>ББ!#REF!</f>
        <v>#REF!</v>
      </c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 t="e">
        <f t="shared" ref="CP19:CP26" si="9">SUM(K19:CO19)</f>
        <v>#REF!</v>
      </c>
      <c r="CQ19" s="62" t="e">
        <f t="shared" ref="CQ19:CQ26" si="10">CP19+J19</f>
        <v>#REF!</v>
      </c>
      <c r="CR19" s="62"/>
      <c r="CS19" s="62"/>
      <c r="CU19" s="41" t="e">
        <f t="shared" ref="CU19:CU26" si="11">G19+CP19</f>
        <v>#REF!</v>
      </c>
      <c r="CX19" s="41" t="e">
        <f>ROUND(SUMIF(#REF!,A19,#REF!),0)</f>
        <v>#REF!</v>
      </c>
      <c r="CZ19" s="41" t="e">
        <f>ROUND(SUMIF(#REF!,'2019'!A19,#REF!),0)</f>
        <v>#REF!</v>
      </c>
      <c r="DB19" s="41">
        <v>6191075</v>
      </c>
      <c r="DC19" s="5" t="e">
        <f t="shared" ref="DC19:DC26" si="12">CX19-DB19</f>
        <v>#REF!</v>
      </c>
      <c r="DD19" s="41"/>
      <c r="DK19" s="41">
        <f t="shared" ref="DK19:DK26" si="13">SUM(DD19:DJ19)</f>
        <v>0</v>
      </c>
      <c r="DL19" s="41" t="e">
        <f t="shared" ref="DL19:DL26" si="14">DK19+DC19</f>
        <v>#REF!</v>
      </c>
      <c r="DN19" s="41" t="e">
        <f t="shared" ref="DN19:DN26" si="15">CZ19+DK19</f>
        <v>#REF!</v>
      </c>
    </row>
    <row r="20" spans="1:118" ht="15">
      <c r="A20" s="2" t="s">
        <v>17</v>
      </c>
      <c r="E20" s="41" t="e">
        <f>ROUND(SUMIF(#REF!,A20,#REF!),0)</f>
        <v>#REF!</v>
      </c>
      <c r="F20" s="41"/>
      <c r="G20" s="41" t="e">
        <f>ROUND(SUMIF(#REF!,A20,#REF!),0)</f>
        <v>#REF!</v>
      </c>
      <c r="I20" s="41">
        <v>0</v>
      </c>
      <c r="J20" s="41" t="e">
        <f t="shared" si="8"/>
        <v>#REF!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 t="e">
        <f>-#REF!</f>
        <v>#REF!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 t="e">
        <f t="shared" si="9"/>
        <v>#REF!</v>
      </c>
      <c r="CQ20" s="62" t="e">
        <f t="shared" si="10"/>
        <v>#REF!</v>
      </c>
      <c r="CR20" s="62"/>
      <c r="CS20" s="62"/>
      <c r="CU20" s="41" t="e">
        <f t="shared" si="11"/>
        <v>#REF!</v>
      </c>
      <c r="CX20" s="41" t="e">
        <f>ROUND(SUMIF(#REF!,A20,#REF!),0)</f>
        <v>#REF!</v>
      </c>
      <c r="CZ20" s="41" t="e">
        <f>ROUND(SUMIF(#REF!,'2019'!A20,#REF!),0)</f>
        <v>#REF!</v>
      </c>
      <c r="DB20" s="41">
        <v>6172</v>
      </c>
      <c r="DC20" s="5" t="e">
        <f t="shared" si="12"/>
        <v>#REF!</v>
      </c>
      <c r="DD20" s="41"/>
      <c r="DK20" s="41">
        <f t="shared" si="13"/>
        <v>0</v>
      </c>
      <c r="DL20" s="41" t="e">
        <f t="shared" si="14"/>
        <v>#REF!</v>
      </c>
      <c r="DN20" s="41" t="e">
        <f t="shared" si="15"/>
        <v>#REF!</v>
      </c>
    </row>
    <row r="21" spans="1:118" ht="15">
      <c r="A21" s="2" t="s">
        <v>11</v>
      </c>
      <c r="E21" s="41" t="e">
        <f>ROUND(SUMIF(#REF!,A21,#REF!),0)</f>
        <v>#REF!</v>
      </c>
      <c r="F21" s="41"/>
      <c r="G21" s="41" t="e">
        <f>ROUND(SUMIF(#REF!,A21,#REF!),0)</f>
        <v>#REF!</v>
      </c>
      <c r="I21" s="41">
        <v>0</v>
      </c>
      <c r="J21" s="41" t="e">
        <f t="shared" si="8"/>
        <v>#REF!</v>
      </c>
      <c r="CP21" s="41">
        <f t="shared" si="9"/>
        <v>0</v>
      </c>
      <c r="CQ21" s="62" t="e">
        <f t="shared" si="10"/>
        <v>#REF!</v>
      </c>
      <c r="CR21" s="62"/>
      <c r="CS21" s="62"/>
      <c r="CU21" s="41" t="e">
        <f t="shared" si="11"/>
        <v>#REF!</v>
      </c>
      <c r="CX21" s="41" t="e">
        <f>ROUND(SUMIF(#REF!,A21,#REF!),0)</f>
        <v>#REF!</v>
      </c>
      <c r="CZ21" s="41" t="e">
        <f>ROUND(SUMIF(#REF!,'2019'!A21,#REF!),0)</f>
        <v>#REF!</v>
      </c>
      <c r="DB21" s="41">
        <v>2666791</v>
      </c>
      <c r="DC21" s="5" t="e">
        <f t="shared" si="12"/>
        <v>#REF!</v>
      </c>
      <c r="DD21" s="41"/>
      <c r="DK21" s="41">
        <f t="shared" si="13"/>
        <v>0</v>
      </c>
      <c r="DL21" s="41" t="e">
        <f t="shared" si="14"/>
        <v>#REF!</v>
      </c>
      <c r="DN21" s="41" t="e">
        <f t="shared" si="15"/>
        <v>#REF!</v>
      </c>
    </row>
    <row r="22" spans="1:118" ht="15">
      <c r="A22" s="2" t="s">
        <v>19</v>
      </c>
      <c r="E22" s="41" t="e">
        <f>ROUND(SUMIF(#REF!,A22,#REF!),0)</f>
        <v>#REF!</v>
      </c>
      <c r="F22" s="41"/>
      <c r="G22" s="41" t="e">
        <f>ROUND(SUMIF(#REF!,A22,#REF!),0)</f>
        <v>#REF!</v>
      </c>
      <c r="I22" s="41">
        <v>2159536</v>
      </c>
      <c r="J22" s="41" t="e">
        <f t="shared" si="8"/>
        <v>#REF!</v>
      </c>
      <c r="AL22" s="41" t="e">
        <f>#REF!</f>
        <v>#REF!</v>
      </c>
      <c r="AM22" s="41" t="e">
        <f>#REF!</f>
        <v>#REF!</v>
      </c>
      <c r="AN22" s="41" t="e">
        <f>#REF!</f>
        <v>#REF!</v>
      </c>
      <c r="AO22" s="41" t="e">
        <f>-#REF!</f>
        <v>#REF!</v>
      </c>
      <c r="AP22" s="41" t="e">
        <f>#REF!</f>
        <v>#REF!</v>
      </c>
      <c r="AQ22" s="41" t="e">
        <f>-#REF!</f>
        <v>#REF!</v>
      </c>
      <c r="AR22" s="41" t="e">
        <f>-#REF!</f>
        <v>#REF!</v>
      </c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 t="e">
        <f t="shared" si="9"/>
        <v>#REF!</v>
      </c>
      <c r="CQ22" s="62" t="e">
        <f t="shared" si="10"/>
        <v>#REF!</v>
      </c>
      <c r="CR22" s="62"/>
      <c r="CS22" s="62"/>
      <c r="CU22" s="41" t="e">
        <f t="shared" si="11"/>
        <v>#REF!</v>
      </c>
      <c r="CX22" s="41" t="e">
        <f>ROUND(SUMIF(#REF!,A22,#REF!),0)</f>
        <v>#REF!</v>
      </c>
      <c r="CZ22" s="41" t="e">
        <f>ROUND(SUMIF(#REF!,'2019'!A22,#REF!),0)</f>
        <v>#REF!</v>
      </c>
      <c r="DB22" s="41">
        <v>765075</v>
      </c>
      <c r="DC22" s="5" t="e">
        <f>CX22-DB22</f>
        <v>#REF!</v>
      </c>
      <c r="DD22" s="41"/>
      <c r="DK22" s="41">
        <f t="shared" si="13"/>
        <v>0</v>
      </c>
      <c r="DL22" s="41" t="e">
        <f t="shared" si="14"/>
        <v>#REF!</v>
      </c>
      <c r="DN22" s="41" t="e">
        <f t="shared" si="15"/>
        <v>#REF!</v>
      </c>
    </row>
    <row r="23" spans="1:118" ht="15">
      <c r="A23" s="2" t="s">
        <v>20</v>
      </c>
      <c r="E23" s="41" t="e">
        <f>ROUND(SUMIF(#REF!,A23,#REF!),0)</f>
        <v>#REF!</v>
      </c>
      <c r="F23" s="41"/>
      <c r="G23" s="41" t="e">
        <f>ROUND(SUMIF(#REF!,A23,#REF!),0)</f>
        <v>#REF!</v>
      </c>
      <c r="I23" s="41">
        <v>0</v>
      </c>
      <c r="J23" s="41" t="e">
        <f t="shared" si="8"/>
        <v>#REF!</v>
      </c>
      <c r="CP23" s="41">
        <f t="shared" si="9"/>
        <v>0</v>
      </c>
      <c r="CQ23" s="62" t="e">
        <f t="shared" si="10"/>
        <v>#REF!</v>
      </c>
      <c r="CR23" s="62"/>
      <c r="CS23" s="62"/>
      <c r="CU23" s="41" t="e">
        <f t="shared" si="11"/>
        <v>#REF!</v>
      </c>
      <c r="CX23" s="41" t="e">
        <f>ROUND(SUMIF(#REF!,A23,#REF!),0)</f>
        <v>#REF!</v>
      </c>
      <c r="CZ23" s="41" t="e">
        <f>ROUND(SUMIF(#REF!,'2019'!A23,#REF!),0)</f>
        <v>#REF!</v>
      </c>
      <c r="DB23" s="41">
        <v>15053</v>
      </c>
      <c r="DC23" s="5" t="e">
        <f t="shared" si="12"/>
        <v>#REF!</v>
      </c>
      <c r="DD23" s="41"/>
      <c r="DK23" s="41">
        <f t="shared" si="13"/>
        <v>0</v>
      </c>
      <c r="DL23" s="41" t="e">
        <f t="shared" si="14"/>
        <v>#REF!</v>
      </c>
      <c r="DN23" s="41" t="e">
        <f t="shared" si="15"/>
        <v>#REF!</v>
      </c>
    </row>
    <row r="24" spans="1:118" ht="15">
      <c r="A24" s="2" t="s">
        <v>12</v>
      </c>
      <c r="E24" s="41" t="e">
        <f>ROUND(SUMIF(#REF!,A24,#REF!),0)</f>
        <v>#REF!</v>
      </c>
      <c r="F24" s="41"/>
      <c r="G24" s="41" t="e">
        <f>ROUND(SUMIF(#REF!,A24,#REF!),0)</f>
        <v>#REF!</v>
      </c>
      <c r="I24" s="41">
        <v>252237</v>
      </c>
      <c r="J24" s="41" t="e">
        <f t="shared" si="8"/>
        <v>#REF!</v>
      </c>
      <c r="Q24" s="2" t="e">
        <f>#REF!</f>
        <v>#REF!</v>
      </c>
      <c r="AG24" s="2">
        <v>428</v>
      </c>
      <c r="CP24" s="41" t="e">
        <f t="shared" si="9"/>
        <v>#REF!</v>
      </c>
      <c r="CQ24" s="62" t="e">
        <f t="shared" si="10"/>
        <v>#REF!</v>
      </c>
      <c r="CR24" s="62" t="e">
        <f>-CR13</f>
        <v>#REF!</v>
      </c>
      <c r="CS24" s="62" t="e">
        <f>CR24+CQ24</f>
        <v>#REF!</v>
      </c>
      <c r="CU24" s="41" t="e">
        <f t="shared" si="11"/>
        <v>#REF!</v>
      </c>
      <c r="CX24" s="41" t="e">
        <f>ROUND(SUMIF(#REF!,A24,#REF!),0)</f>
        <v>#REF!</v>
      </c>
      <c r="CZ24" s="41" t="e">
        <f>ROUND(SUMIF(#REF!,'2019'!A24,#REF!),0)</f>
        <v>#REF!</v>
      </c>
      <c r="DB24" s="41">
        <v>1450902</v>
      </c>
      <c r="DC24" s="5" t="e">
        <f t="shared" si="12"/>
        <v>#REF!</v>
      </c>
      <c r="DD24" s="41"/>
      <c r="DK24" s="41">
        <f t="shared" si="13"/>
        <v>0</v>
      </c>
      <c r="DL24" s="41" t="e">
        <f t="shared" si="14"/>
        <v>#REF!</v>
      </c>
      <c r="DN24" s="750" t="e">
        <f t="shared" si="15"/>
        <v>#REF!</v>
      </c>
    </row>
    <row r="25" spans="1:118" ht="15">
      <c r="A25" s="2" t="s">
        <v>22</v>
      </c>
      <c r="E25" s="41" t="e">
        <f>ROUND(SUMIF(#REF!,A25,#REF!),0)</f>
        <v>#REF!</v>
      </c>
      <c r="F25" s="41"/>
      <c r="G25" s="41" t="e">
        <f>ROUND(SUMIF(#REF!,A25,#REF!),0)</f>
        <v>#REF!</v>
      </c>
      <c r="I25" s="41">
        <v>22111561</v>
      </c>
      <c r="J25" s="41" t="e">
        <f t="shared" si="8"/>
        <v>#REF!</v>
      </c>
      <c r="CP25" s="41">
        <f t="shared" si="9"/>
        <v>0</v>
      </c>
      <c r="CQ25" s="62" t="e">
        <f t="shared" si="10"/>
        <v>#REF!</v>
      </c>
      <c r="CR25" s="62"/>
      <c r="CS25" s="62"/>
      <c r="CU25" s="41" t="e">
        <f t="shared" si="11"/>
        <v>#REF!</v>
      </c>
      <c r="CX25" s="41" t="e">
        <f>ROUND(SUMIF(#REF!,A25,#REF!),0)</f>
        <v>#REF!</v>
      </c>
      <c r="CZ25" s="740" t="e">
        <f>ROUND(SUMIF(#REF!,'2019'!A25,#REF!),0)</f>
        <v>#REF!</v>
      </c>
      <c r="DB25" s="41">
        <v>0</v>
      </c>
      <c r="DC25" s="5" t="e">
        <f t="shared" si="12"/>
        <v>#REF!</v>
      </c>
      <c r="DK25" s="41">
        <f t="shared" si="13"/>
        <v>0</v>
      </c>
      <c r="DL25" s="41" t="e">
        <f t="shared" si="14"/>
        <v>#REF!</v>
      </c>
      <c r="DN25" s="41" t="e">
        <f t="shared" si="15"/>
        <v>#REF!</v>
      </c>
    </row>
    <row r="26" spans="1:118" ht="15">
      <c r="A26" s="2" t="s">
        <v>24</v>
      </c>
      <c r="E26" s="41" t="e">
        <f>ROUND(SUMIF(#REF!,A26,#REF!),0)</f>
        <v>#REF!</v>
      </c>
      <c r="F26" s="41"/>
      <c r="G26" s="41" t="e">
        <f>ROUND(SUMIF(#REF!,A26,#REF!),0)</f>
        <v>#REF!</v>
      </c>
      <c r="I26" s="41">
        <v>1058275</v>
      </c>
      <c r="J26" s="41" t="e">
        <f t="shared" si="8"/>
        <v>#REF!</v>
      </c>
      <c r="CP26" s="41">
        <f t="shared" si="9"/>
        <v>0</v>
      </c>
      <c r="CQ26" s="62" t="e">
        <f t="shared" si="10"/>
        <v>#REF!</v>
      </c>
      <c r="CR26" s="62"/>
      <c r="CS26" s="62"/>
      <c r="CU26" s="41" t="e">
        <f t="shared" si="11"/>
        <v>#REF!</v>
      </c>
      <c r="CX26" s="41" t="e">
        <f>ROUND(SUMIF(#REF!,A26,#REF!),0)</f>
        <v>#REF!</v>
      </c>
      <c r="CZ26" s="41" t="e">
        <f>ROUND(SUMIF(#REF!,'2019'!A26,#REF!),0)</f>
        <v>#REF!</v>
      </c>
      <c r="DB26" s="41">
        <v>17442700</v>
      </c>
      <c r="DC26" s="5" t="e">
        <f t="shared" si="12"/>
        <v>#REF!</v>
      </c>
      <c r="DE26" s="41" t="e">
        <f>-#REF!</f>
        <v>#REF!</v>
      </c>
      <c r="DF26" s="41" t="e">
        <f>-#REF!</f>
        <v>#REF!</v>
      </c>
      <c r="DK26" s="41" t="e">
        <f t="shared" si="13"/>
        <v>#REF!</v>
      </c>
      <c r="DL26" s="41" t="e">
        <f t="shared" si="14"/>
        <v>#REF!</v>
      </c>
      <c r="DN26" s="41" t="e">
        <f t="shared" si="15"/>
        <v>#REF!</v>
      </c>
    </row>
    <row r="27" spans="1:118" ht="13.5" thickBot="1">
      <c r="A27" s="213"/>
      <c r="B27" s="213"/>
      <c r="C27" s="213"/>
      <c r="E27" s="42" t="e">
        <f>SUM(E19:E26)</f>
        <v>#REF!</v>
      </c>
      <c r="G27" s="42" t="e">
        <f>SUM(G19:G26)</f>
        <v>#REF!</v>
      </c>
      <c r="I27" s="42">
        <f>SUM(I19:I26)</f>
        <v>40468150</v>
      </c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756"/>
      <c r="CR27" s="633"/>
      <c r="CS27" s="633"/>
      <c r="CU27" s="42" t="e">
        <f>SUM(CU19:CU26)</f>
        <v>#REF!</v>
      </c>
      <c r="CX27" s="42" t="e">
        <f>SUM(CX19:CX26)</f>
        <v>#REF!</v>
      </c>
      <c r="CZ27" s="42" t="e">
        <f>SUM(CZ19:CZ26)</f>
        <v>#REF!</v>
      </c>
      <c r="DB27" s="42">
        <f>SUM(DB19:DB26)</f>
        <v>28537768</v>
      </c>
      <c r="DC27" s="213"/>
      <c r="DD27" s="213"/>
      <c r="DE27" s="213"/>
      <c r="DF27" s="213"/>
      <c r="DG27" s="213"/>
      <c r="DH27" s="213"/>
      <c r="DI27" s="213"/>
      <c r="DJ27" s="213"/>
      <c r="DK27" s="213"/>
      <c r="DL27" s="137" t="e">
        <f>SUM(DL18:DL26)</f>
        <v>#REF!</v>
      </c>
      <c r="DN27" s="42" t="e">
        <f>SUM(DN19:DN26)</f>
        <v>#REF!</v>
      </c>
    </row>
    <row r="28" spans="1:118" ht="13.5" thickTop="1">
      <c r="I28" s="41"/>
      <c r="CQ28" s="218"/>
      <c r="CR28" s="218"/>
      <c r="CS28" s="218"/>
    </row>
    <row r="29" spans="1:118">
      <c r="A29" s="2" t="s">
        <v>25</v>
      </c>
      <c r="E29" s="41" t="e">
        <f>ROUND(SUMIF(#REF!,A29,#REF!),0)</f>
        <v>#REF!</v>
      </c>
      <c r="F29" s="41"/>
      <c r="G29" s="41" t="e">
        <f>ROUND(SUMIF(#REF!,A29,#REF!),0)</f>
        <v>#REF!</v>
      </c>
      <c r="I29" s="41">
        <v>28592</v>
      </c>
      <c r="J29" s="41" t="e">
        <f t="shared" ref="J29" si="16">E29-I29</f>
        <v>#REF!</v>
      </c>
      <c r="CP29" s="2">
        <f>SUM(K29:CO29)</f>
        <v>0</v>
      </c>
      <c r="CQ29" s="62" t="e">
        <f>CP29+J29</f>
        <v>#REF!</v>
      </c>
      <c r="CR29" s="62"/>
      <c r="CS29" s="62"/>
      <c r="CU29" s="41" t="e">
        <f t="shared" ref="CU29" si="17">G29+CP29</f>
        <v>#REF!</v>
      </c>
      <c r="CX29" s="41" t="e">
        <f>ROUND(SUMIF(#REF!,A29,#REF!),0)</f>
        <v>#REF!</v>
      </c>
      <c r="CZ29" s="41" t="e">
        <f>ROUND(SUMIF(#REF!,'2019'!A29,#REF!),0)</f>
        <v>#REF!</v>
      </c>
      <c r="DB29" s="2">
        <v>0</v>
      </c>
      <c r="DK29" s="41">
        <f t="shared" ref="DK29" si="18">SUM(DD29:DJ29)</f>
        <v>0</v>
      </c>
      <c r="DL29" s="41">
        <f t="shared" ref="DL29" si="19">DK29+DC29</f>
        <v>0</v>
      </c>
      <c r="DN29" s="41" t="e">
        <f t="shared" ref="DN29" si="20">CZ29+DK29</f>
        <v>#REF!</v>
      </c>
    </row>
    <row r="30" spans="1:118">
      <c r="I30" s="41"/>
      <c r="CQ30" s="218"/>
      <c r="CR30" s="218"/>
      <c r="CS30" s="218"/>
    </row>
    <row r="31" spans="1:118" ht="13.5" thickBot="1">
      <c r="A31" s="1" t="s">
        <v>26</v>
      </c>
      <c r="E31" s="42" t="e">
        <f>E29+E27+E16</f>
        <v>#REF!</v>
      </c>
      <c r="G31" s="42" t="e">
        <f>G29+G27+G16</f>
        <v>#REF!</v>
      </c>
      <c r="I31" s="42">
        <f>I29+I27+I16</f>
        <v>91123941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756"/>
      <c r="CR31" s="633"/>
      <c r="CS31" s="633"/>
      <c r="CU31" s="42" t="e">
        <f>CU29+CU27+CU16</f>
        <v>#REF!</v>
      </c>
      <c r="CX31" s="42" t="e">
        <f>CX29+CX27+CX16</f>
        <v>#REF!</v>
      </c>
      <c r="CZ31" s="42" t="e">
        <f>CZ29+CZ27+CZ16</f>
        <v>#REF!</v>
      </c>
      <c r="DB31" s="42">
        <f>DB29+DB27+DB16</f>
        <v>66116158</v>
      </c>
      <c r="DN31" s="42" t="e">
        <f>DN29+DN27+DN16</f>
        <v>#REF!</v>
      </c>
    </row>
    <row r="32" spans="1:118" ht="13.5" thickTop="1">
      <c r="CQ32" s="218"/>
      <c r="CR32" s="218"/>
      <c r="CS32" s="218"/>
    </row>
    <row r="33" spans="1:118">
      <c r="A33" s="1" t="s">
        <v>27</v>
      </c>
      <c r="CQ33" s="218"/>
      <c r="CR33" s="218"/>
      <c r="CS33" s="218"/>
      <c r="DN33" s="41">
        <f t="shared" ref="DN33:DN35" si="21">CZ33+DK33</f>
        <v>0</v>
      </c>
    </row>
    <row r="34" spans="1:118" ht="15">
      <c r="A34" s="2" t="s">
        <v>28</v>
      </c>
      <c r="E34" s="41" t="e">
        <f>-ROUND(SUMIF(#REF!,A34,#REF!),0)</f>
        <v>#REF!</v>
      </c>
      <c r="F34" s="41"/>
      <c r="G34" s="41" t="e">
        <f>-ROUND(SUMIF(#REF!,A34,#REF!),0)</f>
        <v>#REF!</v>
      </c>
      <c r="I34" s="41">
        <v>83565883</v>
      </c>
      <c r="J34" s="41" t="e">
        <f t="shared" ref="J34:J36" si="22">E34-I34</f>
        <v>#REF!</v>
      </c>
      <c r="CP34" s="2">
        <f>SUM(K34:CO34)</f>
        <v>0</v>
      </c>
      <c r="CQ34" s="62" t="e">
        <f>CP34+J34</f>
        <v>#REF!</v>
      </c>
      <c r="CR34" s="62"/>
      <c r="CS34" s="62"/>
      <c r="CU34" s="41" t="e">
        <f t="shared" ref="CU34:CU36" si="23">G34+CP34</f>
        <v>#REF!</v>
      </c>
      <c r="CX34" s="41" t="e">
        <f>-ROUND(SUMIF(#REF!,A34,#REF!),0)</f>
        <v>#REF!</v>
      </c>
      <c r="CZ34" s="41" t="e">
        <f>-ROUND(SUMIF(#REF!,'2019'!A34,#REF!),0)</f>
        <v>#REF!</v>
      </c>
      <c r="DB34" s="41">
        <v>212</v>
      </c>
      <c r="DC34" s="5" t="e">
        <f t="shared" ref="DC34:DC35" si="24">CX34-DB34</f>
        <v>#REF!</v>
      </c>
      <c r="DK34" s="41">
        <f t="shared" ref="DK34:DK36" si="25">SUM(DD34:DJ34)</f>
        <v>0</v>
      </c>
      <c r="DL34" s="41" t="e">
        <f t="shared" ref="DL34:DL36" si="26">DK34+DC34</f>
        <v>#REF!</v>
      </c>
      <c r="DN34" s="41" t="e">
        <f t="shared" si="21"/>
        <v>#REF!</v>
      </c>
    </row>
    <row r="35" spans="1:118" ht="15">
      <c r="A35" s="2" t="s">
        <v>391</v>
      </c>
      <c r="E35" s="41" t="e">
        <f>-ROUND(SUMIF(#REF!,A35,#REF!),0)</f>
        <v>#REF!</v>
      </c>
      <c r="F35" s="41"/>
      <c r="G35" s="41" t="e">
        <f>-ROUND(SUMIF(#REF!,A35,#REF!),0)</f>
        <v>#REF!</v>
      </c>
      <c r="I35" s="41">
        <v>450000</v>
      </c>
      <c r="J35" s="41" t="e">
        <f t="shared" si="22"/>
        <v>#REF!</v>
      </c>
      <c r="CP35" s="2">
        <f>SUM(K35:CO35)</f>
        <v>0</v>
      </c>
      <c r="CQ35" s="62" t="e">
        <f>CP35+J35</f>
        <v>#REF!</v>
      </c>
      <c r="CR35" s="62"/>
      <c r="CS35" s="62"/>
      <c r="CU35" s="41" t="e">
        <f t="shared" si="23"/>
        <v>#REF!</v>
      </c>
      <c r="CX35" s="41" t="e">
        <f>-ROUND(SUMIF(#REF!,A35,#REF!),0)</f>
        <v>#REF!</v>
      </c>
      <c r="CZ35" s="41" t="e">
        <f>-ROUND(SUMIF(#REF!,'2019'!A35,#REF!),0)</f>
        <v>#REF!</v>
      </c>
      <c r="DB35" s="41">
        <v>0</v>
      </c>
      <c r="DC35" s="5" t="e">
        <f t="shared" si="24"/>
        <v>#REF!</v>
      </c>
      <c r="DK35" s="41">
        <f t="shared" si="25"/>
        <v>0</v>
      </c>
      <c r="DL35" s="41" t="e">
        <f t="shared" si="26"/>
        <v>#REF!</v>
      </c>
      <c r="DN35" s="41" t="e">
        <f t="shared" si="21"/>
        <v>#REF!</v>
      </c>
    </row>
    <row r="36" spans="1:118" ht="15">
      <c r="A36" s="2" t="s">
        <v>29</v>
      </c>
      <c r="E36" s="41" t="e">
        <f>-ROUND(SUMIF(#REF!,A36,#REF!),0)</f>
        <v>#REF!</v>
      </c>
      <c r="F36" s="41"/>
      <c r="G36" s="41" t="e">
        <f>-ROUND(SUMIF(#REF!,A36,#REF!),0)</f>
        <v>#REF!</v>
      </c>
      <c r="I36" s="41">
        <v>-76459525</v>
      </c>
      <c r="J36" s="41" t="e">
        <f t="shared" si="22"/>
        <v>#REF!</v>
      </c>
      <c r="K36" s="2" t="e">
        <f>-#REF!</f>
        <v>#REF!</v>
      </c>
      <c r="L36" s="2" t="e">
        <f>-#REF!</f>
        <v>#REF!</v>
      </c>
      <c r="M36" s="2" t="e">
        <f>-#REF!</f>
        <v>#REF!</v>
      </c>
      <c r="O36" s="2" t="e">
        <f>-#REF!</f>
        <v>#REF!</v>
      </c>
      <c r="R36" s="41" t="e">
        <f>-#REF!</f>
        <v>#REF!</v>
      </c>
      <c r="S36" s="41" t="e">
        <f>-#REF!</f>
        <v>#REF!</v>
      </c>
      <c r="T36" s="41" t="e">
        <f>-#REF!</f>
        <v>#REF!</v>
      </c>
      <c r="U36" s="2" t="e">
        <f>-#REF!</f>
        <v>#REF!</v>
      </c>
      <c r="V36" s="2" t="e">
        <f>-#REF!</f>
        <v>#REF!</v>
      </c>
      <c r="W36" s="41" t="e">
        <f>#REF!</f>
        <v>#REF!</v>
      </c>
      <c r="Y36" s="41" t="e">
        <f>#REF!</f>
        <v>#REF!</v>
      </c>
      <c r="Z36" s="2" t="e">
        <f>-#REF!-#REF!</f>
        <v>#REF!</v>
      </c>
      <c r="AB36" s="2" t="e">
        <f>#REF!</f>
        <v>#REF!</v>
      </c>
      <c r="AC36" s="2" t="e">
        <f>-#REF!</f>
        <v>#REF!</v>
      </c>
      <c r="AD36" s="2" t="e">
        <f>-#REF!</f>
        <v>#REF!</v>
      </c>
      <c r="AE36" s="41" t="e">
        <f>-#REF!</f>
        <v>#REF!</v>
      </c>
      <c r="AF36" s="41" t="e">
        <f>-#REF!</f>
        <v>#REF!</v>
      </c>
      <c r="AH36" s="41" t="e">
        <f>-#REF!</f>
        <v>#REF!</v>
      </c>
      <c r="AI36" s="41" t="e">
        <f>-#REF!</f>
        <v>#REF!</v>
      </c>
      <c r="AJ36" s="41" t="e">
        <f>AJ19</f>
        <v>#REF!</v>
      </c>
      <c r="AK36" s="41" t="e">
        <f>-#REF!</f>
        <v>#REF!</v>
      </c>
      <c r="AL36" s="41" t="e">
        <f>#REF!</f>
        <v>#REF!</v>
      </c>
      <c r="AM36" s="41" t="e">
        <f>#REF!</f>
        <v>#REF!</v>
      </c>
      <c r="AP36" s="2" t="e">
        <f>-#REF!</f>
        <v>#REF!</v>
      </c>
      <c r="AQ36" s="41" t="e">
        <f>-#REF!</f>
        <v>#REF!</v>
      </c>
      <c r="AR36" s="41" t="e">
        <f>-#REF!</f>
        <v>#REF!</v>
      </c>
      <c r="AV36" s="41" t="e">
        <f>-AV43</f>
        <v>#REF!</v>
      </c>
      <c r="AX36" s="41" t="e">
        <f>-#REF!</f>
        <v>#REF!</v>
      </c>
      <c r="AZ36" s="41" t="e">
        <f>-AZ51</f>
        <v>#REF!</v>
      </c>
      <c r="BA36" s="2" t="e">
        <f>-#REF!</f>
        <v>#REF!</v>
      </c>
      <c r="BB36" s="41" t="e">
        <f>-BB51</f>
        <v>#REF!</v>
      </c>
      <c r="BC36" s="41" t="e">
        <f>-#REF!</f>
        <v>#REF!</v>
      </c>
      <c r="BD36" s="41" t="e">
        <f>-BD51</f>
        <v>#REF!</v>
      </c>
      <c r="BE36" s="2" t="e">
        <f>-#REF!</f>
        <v>#REF!</v>
      </c>
      <c r="BF36" s="2" t="e">
        <f>-BF56</f>
        <v>#REF!</v>
      </c>
      <c r="BG36" s="2" t="e">
        <f>-BG56</f>
        <v>#REF!</v>
      </c>
      <c r="BH36" s="2" t="e">
        <f>-BH56</f>
        <v>#REF!</v>
      </c>
      <c r="BI36" s="2" t="e">
        <f>#REF!</f>
        <v>#REF!</v>
      </c>
      <c r="BM36" s="2" t="e">
        <f>#REF!</f>
        <v>#REF!</v>
      </c>
      <c r="BQ36" s="41" t="e">
        <f>-BQ40</f>
        <v>#REF!</v>
      </c>
      <c r="BU36" s="41" t="e">
        <f t="shared" ref="BU36:CJ36" si="27">-BU40</f>
        <v>#REF!</v>
      </c>
      <c r="BV36" s="41" t="e">
        <f t="shared" si="27"/>
        <v>#REF!</v>
      </c>
      <c r="BW36" s="41" t="e">
        <f t="shared" si="27"/>
        <v>#REF!</v>
      </c>
      <c r="BX36" s="41" t="e">
        <f t="shared" si="27"/>
        <v>#REF!</v>
      </c>
      <c r="BY36" s="41" t="e">
        <f t="shared" si="27"/>
        <v>#REF!</v>
      </c>
      <c r="BZ36" s="41" t="e">
        <f t="shared" si="27"/>
        <v>#REF!</v>
      </c>
      <c r="CA36" s="41" t="e">
        <f t="shared" si="27"/>
        <v>#REF!</v>
      </c>
      <c r="CB36" s="41" t="e">
        <f t="shared" si="27"/>
        <v>#REF!</v>
      </c>
      <c r="CC36" s="41" t="e">
        <f t="shared" si="27"/>
        <v>#REF!</v>
      </c>
      <c r="CD36" s="41" t="e">
        <f t="shared" si="27"/>
        <v>#REF!</v>
      </c>
      <c r="CE36" s="41" t="e">
        <f t="shared" si="27"/>
        <v>#REF!</v>
      </c>
      <c r="CF36" s="41" t="e">
        <f t="shared" si="27"/>
        <v>#REF!</v>
      </c>
      <c r="CG36" s="41" t="e">
        <f t="shared" si="27"/>
        <v>#REF!</v>
      </c>
      <c r="CH36" s="41" t="e">
        <f t="shared" si="27"/>
        <v>#REF!</v>
      </c>
      <c r="CI36" s="41" t="e">
        <f t="shared" si="27"/>
        <v>#REF!</v>
      </c>
      <c r="CJ36" s="41" t="e">
        <f t="shared" si="27"/>
        <v>#REF!</v>
      </c>
      <c r="CK36" s="41" t="e">
        <f>-CK50</f>
        <v>#REF!</v>
      </c>
      <c r="CL36" s="41" t="e">
        <f>-CL50</f>
        <v>#REF!</v>
      </c>
      <c r="CM36" s="41" t="e">
        <f>-CM50</f>
        <v>#REF!</v>
      </c>
      <c r="CN36" s="41" t="e">
        <f>-CN50</f>
        <v>#REF!</v>
      </c>
      <c r="CO36" s="41" t="e">
        <f>-CO50</f>
        <v>#REF!</v>
      </c>
      <c r="CP36" s="2" t="e">
        <f>SUM(K36:CO36)</f>
        <v>#REF!</v>
      </c>
      <c r="CQ36" s="62" t="e">
        <f>CP36+J36</f>
        <v>#REF!</v>
      </c>
      <c r="CR36" s="62"/>
      <c r="CS36" s="62"/>
      <c r="CU36" s="41" t="e">
        <f t="shared" si="23"/>
        <v>#REF!</v>
      </c>
      <c r="CX36" s="41" t="e">
        <f>-ROUND(SUMIF(#REF!,A36,#REF!),0)</f>
        <v>#REF!</v>
      </c>
      <c r="CZ36" s="41" t="e">
        <f>-ROUND(SUMIF(#REF!,'2019'!A36,#REF!),0)</f>
        <v>#REF!</v>
      </c>
      <c r="DA36" s="41"/>
      <c r="DB36" s="41">
        <v>15865410</v>
      </c>
      <c r="DC36" s="5" t="e">
        <f>CX36-DB36</f>
        <v>#REF!</v>
      </c>
      <c r="DE36" s="41" t="e">
        <f>DE26</f>
        <v>#REF!</v>
      </c>
      <c r="DF36" s="41" t="e">
        <f>DF26</f>
        <v>#REF!</v>
      </c>
      <c r="DG36" s="41" t="e">
        <f>-DG40-DG50</f>
        <v>#REF!</v>
      </c>
      <c r="DH36" s="41" t="e">
        <f>-DH50</f>
        <v>#REF!</v>
      </c>
      <c r="DI36" s="41"/>
      <c r="DJ36" s="2" t="e">
        <f>-DJ44</f>
        <v>#REF!</v>
      </c>
      <c r="DK36" s="41" t="e">
        <f t="shared" si="25"/>
        <v>#REF!</v>
      </c>
      <c r="DL36" s="41" t="e">
        <f t="shared" si="26"/>
        <v>#REF!</v>
      </c>
      <c r="DN36" s="41" t="e">
        <f>CZ36+DK36</f>
        <v>#REF!</v>
      </c>
    </row>
    <row r="37" spans="1:118" ht="13.5" thickBot="1">
      <c r="A37" s="213"/>
      <c r="B37" s="213"/>
      <c r="C37" s="213"/>
      <c r="E37" s="42" t="e">
        <f>SUM(E34:E36)</f>
        <v>#REF!</v>
      </c>
      <c r="G37" s="42" t="e">
        <f>SUM(G34:G36)</f>
        <v>#REF!</v>
      </c>
      <c r="I37" s="42">
        <f>SUM(I34:I36)</f>
        <v>7556358</v>
      </c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137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756"/>
      <c r="CR37" s="633"/>
      <c r="CS37" s="633"/>
      <c r="CU37" s="42" t="e">
        <f>SUM(CU34:CU36)</f>
        <v>#REF!</v>
      </c>
      <c r="CX37" s="42" t="e">
        <f>SUM(CX34:CX36)</f>
        <v>#REF!</v>
      </c>
      <c r="CZ37" s="42" t="e">
        <f>SUM(CZ34:CZ36)</f>
        <v>#REF!</v>
      </c>
      <c r="DB37" s="42">
        <f>SUM(DB34:DB36)</f>
        <v>15865622</v>
      </c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N37" s="42" t="e">
        <f>SUM(DN33:DN36)</f>
        <v>#REF!</v>
      </c>
    </row>
    <row r="38" spans="1:118" ht="13.5" thickTop="1">
      <c r="BQ38" s="41"/>
      <c r="CQ38" s="218"/>
      <c r="CR38" s="218"/>
      <c r="CS38" s="218"/>
    </row>
    <row r="39" spans="1:118">
      <c r="A39" s="1" t="s">
        <v>30</v>
      </c>
      <c r="BQ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Q39" s="218"/>
      <c r="CR39" s="218"/>
      <c r="CS39" s="218"/>
    </row>
    <row r="40" spans="1:118" ht="15">
      <c r="A40" s="2" t="s">
        <v>31</v>
      </c>
      <c r="E40" s="41" t="e">
        <f>-ROUND(SUMIF(#REF!,A40,#REF!),0)</f>
        <v>#REF!</v>
      </c>
      <c r="F40" s="41"/>
      <c r="G40" s="41" t="e">
        <f>-ROUND(SUMIF(#REF!,A40,#REF!),0)</f>
        <v>#REF!</v>
      </c>
      <c r="I40" s="41">
        <v>38416586.999920003</v>
      </c>
      <c r="J40" s="41" t="e">
        <f t="shared" ref="J40:J46" si="28">E40-I40</f>
        <v>#REF!</v>
      </c>
      <c r="BI40" s="41" t="e">
        <f>-#REF!</f>
        <v>#REF!</v>
      </c>
      <c r="BJ40" s="41" t="e">
        <f>#REF!</f>
        <v>#REF!</v>
      </c>
      <c r="BK40" s="41" t="e">
        <f>-#REF!</f>
        <v>#REF!</v>
      </c>
      <c r="BL40" s="41" t="e">
        <f>#REF!</f>
        <v>#REF!</v>
      </c>
      <c r="BM40" s="41" t="e">
        <f>-#REF!</f>
        <v>#REF!</v>
      </c>
      <c r="BN40" s="41" t="e">
        <f>#REF!</f>
        <v>#REF!</v>
      </c>
      <c r="BO40" s="2" t="e">
        <f>#REF!</f>
        <v>#REF!</v>
      </c>
      <c r="BP40" s="2" t="e">
        <f>#REF!</f>
        <v>#REF!</v>
      </c>
      <c r="BQ40" s="41" t="e">
        <f>#REF!</f>
        <v>#REF!</v>
      </c>
      <c r="BR40" s="2" t="e">
        <f>#REF!</f>
        <v>#REF!</v>
      </c>
      <c r="BS40" s="41" t="e">
        <f>#REF!</f>
        <v>#REF!</v>
      </c>
      <c r="BT40" s="41" t="e">
        <f>#REF!</f>
        <v>#REF!</v>
      </c>
      <c r="BU40" s="41" t="e">
        <f>#REF!</f>
        <v>#REF!</v>
      </c>
      <c r="BV40" s="41" t="e">
        <f>#REF!</f>
        <v>#REF!</v>
      </c>
      <c r="BW40" s="41" t="e">
        <f>-#REF!</f>
        <v>#REF!</v>
      </c>
      <c r="BX40" s="41" t="e">
        <f>-#REF!</f>
        <v>#REF!</v>
      </c>
      <c r="BY40" s="41" t="e">
        <f>-#REF!</f>
        <v>#REF!</v>
      </c>
      <c r="BZ40" s="41" t="e">
        <f>-#REF!</f>
        <v>#REF!</v>
      </c>
      <c r="CA40" s="41" t="e">
        <f>-#REF!</f>
        <v>#REF!</v>
      </c>
      <c r="CB40" s="41" t="e">
        <f>-#REF!</f>
        <v>#REF!</v>
      </c>
      <c r="CC40" s="41" t="e">
        <f>ББ!#REF!</f>
        <v>#REF!</v>
      </c>
      <c r="CD40" s="41" t="e">
        <f>-#REF!</f>
        <v>#REF!</v>
      </c>
      <c r="CE40" s="41" t="e">
        <f>-#REF!</f>
        <v>#REF!</v>
      </c>
      <c r="CF40" s="41" t="e">
        <f>#REF!</f>
        <v>#REF!</v>
      </c>
      <c r="CG40" s="41" t="e">
        <f>#REF!</f>
        <v>#REF!</v>
      </c>
      <c r="CH40" s="41" t="e">
        <f>-#REF!</f>
        <v>#REF!</v>
      </c>
      <c r="CI40" s="41" t="e">
        <f>#REF!</f>
        <v>#REF!</v>
      </c>
      <c r="CJ40" s="41" t="e">
        <f>#REF!</f>
        <v>#REF!</v>
      </c>
      <c r="CK40" s="41"/>
      <c r="CL40" s="41"/>
      <c r="CM40" s="41"/>
      <c r="CN40" s="41"/>
      <c r="CO40" s="41"/>
      <c r="CP40" s="2" t="e">
        <f t="shared" ref="CP40:CP46" si="29">SUM(K40:CO40)</f>
        <v>#REF!</v>
      </c>
      <c r="CQ40" s="62" t="e">
        <f t="shared" ref="CQ40:CQ46" si="30">CP40+J40</f>
        <v>#REF!</v>
      </c>
      <c r="CR40" s="62"/>
      <c r="CS40" s="62"/>
      <c r="CU40" s="41" t="e">
        <f t="shared" ref="CU40:CU46" si="31">G40+CP40</f>
        <v>#REF!</v>
      </c>
      <c r="CX40" s="41" t="e">
        <f>-ROUND(SUMIF(#REF!,A40,#REF!),0)</f>
        <v>#REF!</v>
      </c>
      <c r="CZ40" s="41" t="e">
        <f>-ROUND(SUMIF(#REF!,'2019'!A40,#REF!),0)</f>
        <v>#REF!</v>
      </c>
      <c r="DB40" s="41">
        <v>33471351.713345248</v>
      </c>
      <c r="DC40" s="5" t="e">
        <f t="shared" ref="DC40:DC46" si="32">CX40-DB40</f>
        <v>#REF!</v>
      </c>
      <c r="DG40" s="41" t="e">
        <f>-ROUND(#REF!,0)</f>
        <v>#REF!</v>
      </c>
      <c r="DH40" s="41"/>
      <c r="DI40" s="41"/>
      <c r="DK40" s="41" t="e">
        <f t="shared" ref="DK40:DK46" si="33">SUM(DD40:DJ40)</f>
        <v>#REF!</v>
      </c>
      <c r="DL40" s="41" t="e">
        <f t="shared" ref="DL40:DL46" si="34">DK40+DC40</f>
        <v>#REF!</v>
      </c>
      <c r="DN40" s="41" t="e">
        <f t="shared" ref="DN40:DN46" si="35">CZ40+DK40</f>
        <v>#REF!</v>
      </c>
    </row>
    <row r="41" spans="1:118" ht="15">
      <c r="A41" s="2" t="s">
        <v>32</v>
      </c>
      <c r="E41" s="41" t="e">
        <f>-ROUND(SUMIF(#REF!,A41,#REF!),0)</f>
        <v>#REF!</v>
      </c>
      <c r="F41" s="41"/>
      <c r="G41" s="41" t="e">
        <f>-ROUND(SUMIF(#REF!,A41,#REF!),0)</f>
        <v>#REF!</v>
      </c>
      <c r="I41" s="41">
        <v>207087</v>
      </c>
      <c r="J41" s="41" t="e">
        <f t="shared" si="28"/>
        <v>#REF!</v>
      </c>
      <c r="AA41" s="2" t="e">
        <f>-#REF!</f>
        <v>#REF!</v>
      </c>
      <c r="AS41" s="41" t="e">
        <f>-#REF!</f>
        <v>#REF!</v>
      </c>
      <c r="AT41" s="2" t="e">
        <f>-#REF!</f>
        <v>#REF!</v>
      </c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2" t="e">
        <f t="shared" si="29"/>
        <v>#REF!</v>
      </c>
      <c r="CQ41" s="62" t="e">
        <f t="shared" si="30"/>
        <v>#REF!</v>
      </c>
      <c r="CR41" s="62"/>
      <c r="CS41" s="62"/>
      <c r="CU41" s="41" t="e">
        <f t="shared" si="31"/>
        <v>#REF!</v>
      </c>
      <c r="CX41" s="41" t="e">
        <f>-ROUND(SUMIF(#REF!,A41,#REF!),0)</f>
        <v>#REF!</v>
      </c>
      <c r="CZ41" s="41" t="e">
        <f>-ROUND(SUMIF(#REF!,'2019'!A41,#REF!),0)</f>
        <v>#REF!</v>
      </c>
      <c r="DB41" s="41">
        <v>0</v>
      </c>
      <c r="DC41" s="5" t="e">
        <f t="shared" si="32"/>
        <v>#REF!</v>
      </c>
      <c r="DK41" s="41">
        <f t="shared" si="33"/>
        <v>0</v>
      </c>
      <c r="DL41" s="41" t="e">
        <f t="shared" si="34"/>
        <v>#REF!</v>
      </c>
      <c r="DN41" s="41" t="e">
        <f t="shared" si="35"/>
        <v>#REF!</v>
      </c>
    </row>
    <row r="42" spans="1:118" ht="15">
      <c r="A42" s="2" t="s">
        <v>2963</v>
      </c>
      <c r="E42" s="41" t="e">
        <f>-ROUND(SUMIF(#REF!,A42,#REF!),0)</f>
        <v>#REF!</v>
      </c>
      <c r="F42" s="41"/>
      <c r="G42" s="41" t="e">
        <f>-ROUND(SUMIF(#REF!,A42,#REF!),0)</f>
        <v>#REF!</v>
      </c>
      <c r="I42" s="41">
        <v>5788759</v>
      </c>
      <c r="J42" s="41" t="e">
        <f t="shared" si="28"/>
        <v>#REF!</v>
      </c>
      <c r="AU42" s="41" t="e">
        <f>#REF!</f>
        <v>#REF!</v>
      </c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2" t="e">
        <f t="shared" si="29"/>
        <v>#REF!</v>
      </c>
      <c r="CQ42" s="62" t="e">
        <f t="shared" si="30"/>
        <v>#REF!</v>
      </c>
      <c r="CR42" s="62"/>
      <c r="CS42" s="62"/>
      <c r="CU42" s="41" t="e">
        <f t="shared" si="31"/>
        <v>#REF!</v>
      </c>
      <c r="CX42" s="41" t="e">
        <f>-ROUND(SUMIF(#REF!,A42,#REF!),0)</f>
        <v>#REF!</v>
      </c>
      <c r="CZ42" s="41" t="e">
        <f>-ROUND(SUMIF(#REF!,'2019'!A42,#REF!),0)</f>
        <v>#REF!</v>
      </c>
      <c r="DB42" s="41">
        <v>0</v>
      </c>
      <c r="DC42" s="5" t="e">
        <f t="shared" si="32"/>
        <v>#REF!</v>
      </c>
      <c r="DK42" s="41">
        <f t="shared" si="33"/>
        <v>0</v>
      </c>
      <c r="DL42" s="41" t="e">
        <f t="shared" si="34"/>
        <v>#REF!</v>
      </c>
      <c r="DN42" s="41" t="e">
        <f t="shared" si="35"/>
        <v>#REF!</v>
      </c>
    </row>
    <row r="43" spans="1:118" ht="15">
      <c r="A43" s="2" t="s">
        <v>40</v>
      </c>
      <c r="E43" s="41" t="e">
        <f>-ROUND(SUMIF(#REF!,A43,#REF!),0)</f>
        <v>#REF!</v>
      </c>
      <c r="F43" s="41"/>
      <c r="G43" s="41" t="e">
        <f>-ROUND(SUMIF(#REF!,A43,#REF!),0)</f>
        <v>#REF!</v>
      </c>
      <c r="I43" s="41">
        <v>768368</v>
      </c>
      <c r="J43" s="41" t="e">
        <f t="shared" si="28"/>
        <v>#REF!</v>
      </c>
      <c r="AU43" s="41"/>
      <c r="AV43" s="41" t="e">
        <f>#REF!</f>
        <v>#REF!</v>
      </c>
      <c r="AW43" s="41" t="e">
        <f>-#REF!</f>
        <v>#REF!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2" t="e">
        <f t="shared" si="29"/>
        <v>#REF!</v>
      </c>
      <c r="CQ43" s="62" t="e">
        <f t="shared" si="30"/>
        <v>#REF!</v>
      </c>
      <c r="CR43" s="62"/>
      <c r="CS43" s="62"/>
      <c r="CU43" s="41" t="e">
        <f t="shared" si="31"/>
        <v>#REF!</v>
      </c>
      <c r="CX43" s="41" t="e">
        <f>-ROUND(SUMIF(#REF!,A43,#REF!),0)</f>
        <v>#REF!</v>
      </c>
      <c r="CZ43" s="41" t="e">
        <f>-ROUND(SUMIF(#REF!,'2019'!A43,#REF!),0)</f>
        <v>#REF!</v>
      </c>
      <c r="DB43" s="41">
        <v>0</v>
      </c>
      <c r="DC43" s="5" t="e">
        <f t="shared" si="32"/>
        <v>#REF!</v>
      </c>
      <c r="DK43" s="41">
        <f t="shared" si="33"/>
        <v>0</v>
      </c>
      <c r="DL43" s="41" t="e">
        <f t="shared" si="34"/>
        <v>#REF!</v>
      </c>
      <c r="DN43" s="41" t="e">
        <f t="shared" si="35"/>
        <v>#REF!</v>
      </c>
    </row>
    <row r="44" spans="1:118" ht="15">
      <c r="A44" s="2" t="s">
        <v>33</v>
      </c>
      <c r="E44" s="41" t="e">
        <f>-ROUND(SUMIF(#REF!,A44,#REF!),0)</f>
        <v>#REF!</v>
      </c>
      <c r="F44" s="41"/>
      <c r="G44" s="41" t="e">
        <f>-ROUND(SUMIF(#REF!,A44,#REF!),0)</f>
        <v>#REF!</v>
      </c>
      <c r="I44" s="41">
        <v>0</v>
      </c>
      <c r="J44" s="41" t="e">
        <f t="shared" si="28"/>
        <v>#REF!</v>
      </c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2">
        <f t="shared" si="29"/>
        <v>0</v>
      </c>
      <c r="CQ44" s="62" t="e">
        <f t="shared" si="30"/>
        <v>#REF!</v>
      </c>
      <c r="CR44" s="62"/>
      <c r="CS44" s="62"/>
      <c r="CU44" s="41" t="e">
        <f t="shared" si="31"/>
        <v>#REF!</v>
      </c>
      <c r="CX44" s="41" t="e">
        <f>-ROUND(SUMIF(#REF!,A44,#REF!),0)</f>
        <v>#REF!</v>
      </c>
      <c r="CZ44" s="41" t="e">
        <f>-ROUND(SUMIF(#REF!,'2019'!A44,#REF!),0)</f>
        <v>#REF!</v>
      </c>
      <c r="DB44" s="41">
        <v>1438695</v>
      </c>
      <c r="DC44" s="5" t="e">
        <f t="shared" si="32"/>
        <v>#REF!</v>
      </c>
      <c r="DJ44" s="2" t="e">
        <f>#REF!</f>
        <v>#REF!</v>
      </c>
      <c r="DK44" s="41" t="e">
        <f t="shared" si="33"/>
        <v>#REF!</v>
      </c>
      <c r="DL44" s="41" t="e">
        <f t="shared" si="34"/>
        <v>#REF!</v>
      </c>
      <c r="DN44" s="41" t="e">
        <f t="shared" si="35"/>
        <v>#REF!</v>
      </c>
    </row>
    <row r="45" spans="1:118" ht="15">
      <c r="A45" s="2" t="s">
        <v>34</v>
      </c>
      <c r="E45" s="41" t="e">
        <f>-ROUND(SUMIF(#REF!,A45,#REF!),0)</f>
        <v>#REF!</v>
      </c>
      <c r="F45" s="41"/>
      <c r="G45" s="41" t="e">
        <f>-ROUND(SUMIF(#REF!,A45,#REF!),0)</f>
        <v>#REF!</v>
      </c>
      <c r="I45" s="41">
        <v>9263762</v>
      </c>
      <c r="J45" s="41" t="e">
        <f t="shared" si="28"/>
        <v>#REF!</v>
      </c>
      <c r="X45" s="2" t="e">
        <f>-#REF!</f>
        <v>#REF!</v>
      </c>
      <c r="AU45" s="41"/>
      <c r="AV45" s="41"/>
      <c r="AW45" s="41"/>
      <c r="AX45" s="41" t="e">
        <f>#REF!</f>
        <v>#REF!</v>
      </c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2" t="e">
        <f t="shared" si="29"/>
        <v>#REF!</v>
      </c>
      <c r="CQ45" s="62" t="e">
        <f t="shared" si="30"/>
        <v>#REF!</v>
      </c>
      <c r="CR45" s="62"/>
      <c r="CS45" s="62"/>
      <c r="CU45" s="41" t="e">
        <f t="shared" si="31"/>
        <v>#REF!</v>
      </c>
      <c r="CX45" s="41" t="e">
        <f>-ROUND(SUMIF(#REF!,A45,#REF!),0)</f>
        <v>#REF!</v>
      </c>
      <c r="CZ45" s="41" t="e">
        <f>-ROUND(SUMIF(#REF!,'2019'!A45,#REF!),0)</f>
        <v>#REF!</v>
      </c>
      <c r="DB45" s="41">
        <v>0</v>
      </c>
      <c r="DC45" s="5" t="e">
        <f t="shared" si="32"/>
        <v>#REF!</v>
      </c>
      <c r="DD45" s="41" t="e">
        <f>DD5</f>
        <v>#REF!</v>
      </c>
      <c r="DK45" s="41" t="e">
        <f t="shared" si="33"/>
        <v>#REF!</v>
      </c>
      <c r="DL45" s="41" t="e">
        <f t="shared" si="34"/>
        <v>#REF!</v>
      </c>
      <c r="DN45" s="41" t="e">
        <f t="shared" si="35"/>
        <v>#REF!</v>
      </c>
    </row>
    <row r="46" spans="1:118" ht="15">
      <c r="A46" s="2" t="s">
        <v>393</v>
      </c>
      <c r="E46" s="41" t="e">
        <f>-ROUND(SUMIF(#REF!,A46,#REF!),0)</f>
        <v>#REF!</v>
      </c>
      <c r="F46" s="41"/>
      <c r="G46" s="41" t="e">
        <f>-ROUND(SUMIF(#REF!,A46,#REF!),0)</f>
        <v>#REF!</v>
      </c>
      <c r="I46" s="41">
        <v>52931</v>
      </c>
      <c r="J46" s="41" t="e">
        <f t="shared" si="28"/>
        <v>#REF!</v>
      </c>
      <c r="AU46" s="41"/>
      <c r="AV46" s="41"/>
      <c r="AW46" s="41"/>
      <c r="AX46" s="41"/>
      <c r="AY46" s="41" t="e">
        <f>-#REF!</f>
        <v>#REF!</v>
      </c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2" t="e">
        <f t="shared" si="29"/>
        <v>#REF!</v>
      </c>
      <c r="CQ46" s="62" t="e">
        <f t="shared" si="30"/>
        <v>#REF!</v>
      </c>
      <c r="CR46" s="62"/>
      <c r="CS46" s="62"/>
      <c r="CU46" s="41" t="e">
        <f t="shared" si="31"/>
        <v>#REF!</v>
      </c>
      <c r="CX46" s="41" t="e">
        <f>-ROUND(SUMIF(#REF!,A46,#REF!),0)</f>
        <v>#REF!</v>
      </c>
      <c r="CZ46" s="41" t="e">
        <f>-ROUND(SUMIF(#REF!,'2019'!A46,#REF!),0)</f>
        <v>#REF!</v>
      </c>
      <c r="DB46" s="41">
        <v>0</v>
      </c>
      <c r="DC46" s="5" t="e">
        <f t="shared" si="32"/>
        <v>#REF!</v>
      </c>
      <c r="DK46" s="41">
        <f t="shared" si="33"/>
        <v>0</v>
      </c>
      <c r="DL46" s="41" t="e">
        <f t="shared" si="34"/>
        <v>#REF!</v>
      </c>
      <c r="DN46" s="41" t="e">
        <f t="shared" si="35"/>
        <v>#REF!</v>
      </c>
    </row>
    <row r="47" spans="1:118" ht="13.5" thickBot="1">
      <c r="A47" s="213"/>
      <c r="B47" s="213"/>
      <c r="C47" s="213"/>
      <c r="E47" s="42" t="e">
        <f>SUM(E40:E46)</f>
        <v>#REF!</v>
      </c>
      <c r="G47" s="42" t="e">
        <f>SUM(G40:G46)</f>
        <v>#REF!</v>
      </c>
      <c r="I47" s="42">
        <f>SUM(I40:I46)</f>
        <v>54497493.999920003</v>
      </c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213"/>
      <c r="CQ47" s="756"/>
      <c r="CR47" s="633"/>
      <c r="CS47" s="633"/>
      <c r="CU47" s="42" t="e">
        <f>SUM(CU40:CU46)</f>
        <v>#REF!</v>
      </c>
      <c r="CX47" s="42" t="e">
        <f>SUM(CX40:CX46)</f>
        <v>#REF!</v>
      </c>
      <c r="CZ47" s="42" t="e">
        <f>SUM(CZ40:CZ46)</f>
        <v>#REF!</v>
      </c>
      <c r="DB47" s="42">
        <f>SUM(DB40:DB46)</f>
        <v>34910046.713345245</v>
      </c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N47" s="42" t="e">
        <f>SUM(DN40:DN46)</f>
        <v>#REF!</v>
      </c>
    </row>
    <row r="48" spans="1:118" ht="13.5" thickTop="1"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Q48" s="218"/>
      <c r="CR48" s="218"/>
      <c r="CS48" s="218"/>
    </row>
    <row r="49" spans="1:118">
      <c r="A49" s="1" t="s">
        <v>36</v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Q49" s="218"/>
      <c r="CR49" s="218"/>
      <c r="CS49" s="218"/>
    </row>
    <row r="50" spans="1:118" ht="15">
      <c r="A50" s="2" t="s">
        <v>37</v>
      </c>
      <c r="E50" s="41" t="e">
        <f>-ROUND(SUMIF(#REF!,A50,#REF!),0)</f>
        <v>#REF!</v>
      </c>
      <c r="F50" s="41"/>
      <c r="G50" s="41" t="e">
        <f>-ROUND(SUMIF(#REF!,A50,#REF!),0)</f>
        <v>#REF!</v>
      </c>
      <c r="I50" s="41">
        <v>3931430.0000799997</v>
      </c>
      <c r="J50" s="41" t="e">
        <f t="shared" ref="J50:J56" si="36">E50-I50</f>
        <v>#REF!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 t="e">
        <f>-#REF!</f>
        <v>#REF!</v>
      </c>
      <c r="BJ50" s="41" t="e">
        <f>-BJ40</f>
        <v>#REF!</v>
      </c>
      <c r="BK50" s="41" t="e">
        <f>-BK40</f>
        <v>#REF!</v>
      </c>
      <c r="BL50" s="41" t="e">
        <f>-BL40</f>
        <v>#REF!</v>
      </c>
      <c r="BM50" s="41" t="e">
        <f>-#REF!</f>
        <v>#REF!</v>
      </c>
      <c r="BN50" s="41" t="e">
        <f>-BN40</f>
        <v>#REF!</v>
      </c>
      <c r="BO50" s="41" t="e">
        <f>-BO40</f>
        <v>#REF!</v>
      </c>
      <c r="BP50" s="41" t="e">
        <f>-BP40</f>
        <v>#REF!</v>
      </c>
      <c r="BQ50" s="41"/>
      <c r="BR50" s="41" t="e">
        <f>-BR40</f>
        <v>#REF!</v>
      </c>
      <c r="BS50" s="41" t="e">
        <f>-BS40</f>
        <v>#REF!</v>
      </c>
      <c r="BT50" s="41" t="e">
        <f>-BT40</f>
        <v>#REF!</v>
      </c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 t="e">
        <f>-#REF!</f>
        <v>#REF!</v>
      </c>
      <c r="CL50" s="41" t="e">
        <f>#REF!</f>
        <v>#REF!</v>
      </c>
      <c r="CM50" s="41" t="e">
        <f>-#REF!</f>
        <v>#REF!</v>
      </c>
      <c r="CN50" s="41" t="e">
        <f>#REF!</f>
        <v>#REF!</v>
      </c>
      <c r="CO50" s="41" t="e">
        <f>-#REF!</f>
        <v>#REF!</v>
      </c>
      <c r="CP50" s="2" t="e">
        <f t="shared" ref="CP50:CP56" si="37">SUM(K50:CO50)</f>
        <v>#REF!</v>
      </c>
      <c r="CQ50" s="62" t="e">
        <f t="shared" ref="CQ50:CQ56" si="38">CP50+J50</f>
        <v>#REF!</v>
      </c>
      <c r="CR50" s="62"/>
      <c r="CS50" s="62"/>
      <c r="CU50" s="41" t="e">
        <f t="shared" ref="CU50:CU56" si="39">G50+CP50</f>
        <v>#REF!</v>
      </c>
      <c r="CX50" s="41" t="e">
        <f>-ROUND(SUMIF(#REF!,A50,#REF!),0)</f>
        <v>#REF!</v>
      </c>
      <c r="CZ50" s="41" t="e">
        <f>-ROUND(SUMIF(#REF!,'2019'!A50,#REF!),0)</f>
        <v>#REF!</v>
      </c>
      <c r="DB50" s="41">
        <v>13277511.646654751</v>
      </c>
      <c r="DC50" s="5" t="e">
        <f t="shared" ref="DC50:DC56" si="40">CX50-DB50</f>
        <v>#REF!</v>
      </c>
      <c r="DG50" s="41" t="e">
        <f>-ROUND(#REF!,0)</f>
        <v>#REF!</v>
      </c>
      <c r="DH50" s="41" t="e">
        <f>ROUND(#REF!,0)</f>
        <v>#REF!</v>
      </c>
      <c r="DI50" s="41"/>
      <c r="DK50" s="41" t="e">
        <f t="shared" ref="DK50:DK56" si="41">SUM(DD50:DJ50)</f>
        <v>#REF!</v>
      </c>
      <c r="DL50" s="41" t="e">
        <f t="shared" ref="DL50:DL56" si="42">DK50+DC50</f>
        <v>#REF!</v>
      </c>
      <c r="DN50" s="41" t="e">
        <f t="shared" ref="DN50:DN56" si="43">CZ50+DK50</f>
        <v>#REF!</v>
      </c>
    </row>
    <row r="51" spans="1:118" ht="15">
      <c r="A51" s="2" t="s">
        <v>38</v>
      </c>
      <c r="E51" s="41" t="e">
        <f>-ROUND(SUMIF(#REF!,A51,#REF!),0)</f>
        <v>#REF!</v>
      </c>
      <c r="F51" s="41"/>
      <c r="G51" s="41" t="e">
        <f>-ROUND(SUMIF(#REF!,A51,#REF!),0)</f>
        <v>#REF!</v>
      </c>
      <c r="I51" s="41">
        <v>29500395</v>
      </c>
      <c r="J51" s="41" t="e">
        <f t="shared" si="36"/>
        <v>#REF!</v>
      </c>
      <c r="AS51" s="41" t="e">
        <f>-AS41</f>
        <v>#REF!</v>
      </c>
      <c r="AT51" s="2" t="e">
        <f>-AT41</f>
        <v>#REF!</v>
      </c>
      <c r="AU51" s="41"/>
      <c r="AV51" s="41"/>
      <c r="AW51" s="41"/>
      <c r="AX51" s="41"/>
      <c r="AY51" s="41"/>
      <c r="AZ51" s="41" t="e">
        <f>-#REF!</f>
        <v>#REF!</v>
      </c>
      <c r="BA51" s="41" t="e">
        <f>#REF!</f>
        <v>#REF!</v>
      </c>
      <c r="BB51" s="41" t="e">
        <f>#REF!</f>
        <v>#REF!</v>
      </c>
      <c r="BC51" s="41" t="e">
        <f>#REF!</f>
        <v>#REF!</v>
      </c>
      <c r="BD51" s="41" t="e">
        <f>#REF!</f>
        <v>#REF!</v>
      </c>
      <c r="BI51" s="41"/>
      <c r="BJ51" s="41"/>
      <c r="BK51" s="41"/>
      <c r="BL51" s="41"/>
      <c r="BM51" s="41"/>
      <c r="BN51" s="41"/>
      <c r="CP51" s="2" t="e">
        <f t="shared" si="37"/>
        <v>#REF!</v>
      </c>
      <c r="CQ51" s="62" t="e">
        <f t="shared" si="38"/>
        <v>#REF!</v>
      </c>
      <c r="CR51" s="62"/>
      <c r="CS51" s="62"/>
      <c r="CU51" s="41" t="e">
        <f t="shared" si="39"/>
        <v>#REF!</v>
      </c>
      <c r="CX51" s="41" t="e">
        <f>-ROUND(SUMIF(#REF!,A51,#REF!),0)</f>
        <v>#REF!</v>
      </c>
      <c r="CZ51" s="41" t="e">
        <f>-ROUND(SUMIF(#REF!,'2019'!A51,#REF!),0)</f>
        <v>#REF!</v>
      </c>
      <c r="DB51" s="41">
        <v>2062978</v>
      </c>
      <c r="DC51" s="5" t="e">
        <f t="shared" si="40"/>
        <v>#REF!</v>
      </c>
      <c r="DK51" s="41">
        <f t="shared" si="41"/>
        <v>0</v>
      </c>
      <c r="DL51" s="41" t="e">
        <f t="shared" si="42"/>
        <v>#REF!</v>
      </c>
      <c r="DN51" s="41" t="e">
        <f t="shared" si="43"/>
        <v>#REF!</v>
      </c>
    </row>
    <row r="52" spans="1:118" ht="15">
      <c r="A52" s="2" t="s">
        <v>2962</v>
      </c>
      <c r="E52" s="41" t="e">
        <f>-ROUND(SUMIF(#REF!,A52,#REF!),0)</f>
        <v>#REF!</v>
      </c>
      <c r="F52" s="41"/>
      <c r="G52" s="41" t="e">
        <f>-ROUND(SUMIF(#REF!,A52,#REF!),0)</f>
        <v>#REF!</v>
      </c>
      <c r="I52" s="41">
        <v>-5710089</v>
      </c>
      <c r="J52" s="41" t="e">
        <f t="shared" si="36"/>
        <v>#REF!</v>
      </c>
      <c r="AN52" s="2" t="e">
        <f>AN22</f>
        <v>#REF!</v>
      </c>
      <c r="AO52" s="2" t="e">
        <f>-#REF!</f>
        <v>#REF!</v>
      </c>
      <c r="AP52" s="2" t="e">
        <f>#REF!</f>
        <v>#REF!</v>
      </c>
      <c r="AU52" s="41" t="e">
        <f>-AU42</f>
        <v>#REF!</v>
      </c>
      <c r="AV52" s="41"/>
      <c r="AW52" s="41"/>
      <c r="AX52" s="41"/>
      <c r="AY52" s="41"/>
      <c r="AZ52" s="41"/>
      <c r="BA52" s="41"/>
      <c r="BB52" s="41"/>
      <c r="BC52" s="41"/>
      <c r="BD52" s="41"/>
      <c r="BE52" s="41" t="e">
        <f>#REF!</f>
        <v>#REF!</v>
      </c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2" t="e">
        <f t="shared" si="37"/>
        <v>#REF!</v>
      </c>
      <c r="CQ52" s="62" t="e">
        <f t="shared" si="38"/>
        <v>#REF!</v>
      </c>
      <c r="CR52" s="62"/>
      <c r="CS52" s="62"/>
      <c r="CU52" s="41" t="e">
        <f t="shared" si="39"/>
        <v>#REF!</v>
      </c>
      <c r="CX52" s="41" t="e">
        <f>-ROUND(SUMIF(#REF!,A52,#REF!),0)</f>
        <v>#REF!</v>
      </c>
      <c r="CZ52" s="41" t="e">
        <f>-ROUND(SUMIF(#REF!,'2019'!A52,#REF!),0)</f>
        <v>#REF!</v>
      </c>
      <c r="DB52" s="41">
        <v>0</v>
      </c>
      <c r="DC52" s="5" t="e">
        <f t="shared" si="40"/>
        <v>#REF!</v>
      </c>
      <c r="DK52" s="41">
        <f t="shared" si="41"/>
        <v>0</v>
      </c>
      <c r="DL52" s="41" t="e">
        <f t="shared" si="42"/>
        <v>#REF!</v>
      </c>
      <c r="DN52" s="41" t="e">
        <f t="shared" si="43"/>
        <v>#REF!</v>
      </c>
    </row>
    <row r="53" spans="1:118" ht="15">
      <c r="A53" s="2" t="s">
        <v>39</v>
      </c>
      <c r="E53" s="41" t="e">
        <f>-ROUND(SUMIF(#REF!,A53,#REF!),0)</f>
        <v>#REF!</v>
      </c>
      <c r="F53" s="41"/>
      <c r="G53" s="41" t="e">
        <f>-ROUND(SUMIF(#REF!,A53,#REF!),0)</f>
        <v>#REF!</v>
      </c>
      <c r="I53" s="41">
        <v>5065</v>
      </c>
      <c r="J53" s="41" t="e">
        <f t="shared" si="36"/>
        <v>#REF!</v>
      </c>
      <c r="AM53" s="41" t="e">
        <f>#REF!</f>
        <v>#REF!</v>
      </c>
      <c r="AP53" s="2" t="e">
        <f>-#REF!</f>
        <v>#REF!</v>
      </c>
      <c r="BE53" s="2" t="e">
        <f>-#REF!</f>
        <v>#REF!</v>
      </c>
      <c r="CP53" s="2" t="e">
        <f t="shared" si="37"/>
        <v>#REF!</v>
      </c>
      <c r="CQ53" s="62" t="e">
        <f t="shared" si="38"/>
        <v>#REF!</v>
      </c>
      <c r="CR53" s="62"/>
      <c r="CS53" s="62"/>
      <c r="CU53" s="41" t="e">
        <f t="shared" si="39"/>
        <v>#REF!</v>
      </c>
      <c r="CX53" s="41" t="e">
        <f>-ROUND(SUMIF(#REF!,A53,#REF!),0)</f>
        <v>#REF!</v>
      </c>
      <c r="CZ53" s="41" t="e">
        <f>-ROUND(SUMIF(#REF!,'2019'!A53,#REF!),0)</f>
        <v>#REF!</v>
      </c>
      <c r="DB53" s="41">
        <v>0</v>
      </c>
      <c r="DC53" s="5" t="e">
        <f t="shared" si="40"/>
        <v>#REF!</v>
      </c>
      <c r="DK53" s="41">
        <f t="shared" si="41"/>
        <v>0</v>
      </c>
      <c r="DL53" s="41" t="e">
        <f t="shared" si="42"/>
        <v>#REF!</v>
      </c>
      <c r="DN53" s="41" t="e">
        <f t="shared" si="43"/>
        <v>#REF!</v>
      </c>
    </row>
    <row r="54" spans="1:118" ht="15">
      <c r="A54" s="2" t="s">
        <v>2981</v>
      </c>
      <c r="E54" s="41" t="e">
        <f>-ROUND(SUMIF(#REF!,A54,#REF!),0)</f>
        <v>#REF!</v>
      </c>
      <c r="F54" s="41"/>
      <c r="G54" s="41" t="e">
        <f>-ROUND(SUMIF(#REF!,A54,#REF!),0)</f>
        <v>#REF!</v>
      </c>
      <c r="I54" s="41">
        <v>152620</v>
      </c>
      <c r="J54" s="41" t="e">
        <f t="shared" si="36"/>
        <v>#REF!</v>
      </c>
      <c r="AK54" s="41" t="e">
        <f>#REF!</f>
        <v>#REF!</v>
      </c>
      <c r="CP54" s="2" t="e">
        <f t="shared" si="37"/>
        <v>#REF!</v>
      </c>
      <c r="CQ54" s="62" t="e">
        <f t="shared" si="38"/>
        <v>#REF!</v>
      </c>
      <c r="CR54" s="62"/>
      <c r="CS54" s="62"/>
      <c r="CU54" s="41" t="e">
        <f t="shared" si="39"/>
        <v>#REF!</v>
      </c>
      <c r="CX54" s="41" t="e">
        <f>-ROUND(SUMIF(#REF!,A54,#REF!),0)</f>
        <v>#REF!</v>
      </c>
      <c r="CZ54" s="41" t="e">
        <f>-ROUND(SUMIF(#REF!,'2019'!A54,#REF!),0)</f>
        <v>#REF!</v>
      </c>
      <c r="DB54" s="41">
        <v>0</v>
      </c>
      <c r="DC54" s="5" t="e">
        <f t="shared" si="40"/>
        <v>#REF!</v>
      </c>
      <c r="DK54" s="41">
        <f t="shared" si="41"/>
        <v>0</v>
      </c>
      <c r="DL54" s="41" t="e">
        <f t="shared" si="42"/>
        <v>#REF!</v>
      </c>
      <c r="DN54" s="41" t="e">
        <f t="shared" si="43"/>
        <v>#REF!</v>
      </c>
    </row>
    <row r="55" spans="1:118" ht="15">
      <c r="A55" s="2" t="s">
        <v>390</v>
      </c>
      <c r="E55" s="41" t="e">
        <f>-ROUND(SUMIF(#REF!,A55,#REF!),0)</f>
        <v>#REF!</v>
      </c>
      <c r="F55" s="41"/>
      <c r="G55" s="41" t="e">
        <f>-ROUND(SUMIF(#REF!,A55,#REF!),0)</f>
        <v>#REF!</v>
      </c>
      <c r="I55" s="41">
        <v>57412</v>
      </c>
      <c r="J55" s="41" t="e">
        <f t="shared" si="36"/>
        <v>#REF!</v>
      </c>
      <c r="AW55" s="41" t="e">
        <f>-AW43</f>
        <v>#REF!</v>
      </c>
      <c r="CP55" s="2" t="e">
        <f t="shared" si="37"/>
        <v>#REF!</v>
      </c>
      <c r="CQ55" s="62" t="e">
        <f t="shared" si="38"/>
        <v>#REF!</v>
      </c>
      <c r="CR55" s="62"/>
      <c r="CS55" s="62"/>
      <c r="CU55" s="41" t="e">
        <f t="shared" si="39"/>
        <v>#REF!</v>
      </c>
      <c r="CX55" s="41" t="e">
        <f>-ROUND(SUMIF(#REF!,A55,#REF!),0)</f>
        <v>#REF!</v>
      </c>
      <c r="CZ55" s="41" t="e">
        <f>-ROUND(SUMIF(#REF!,'2019'!A55,#REF!),0)</f>
        <v>#REF!</v>
      </c>
      <c r="DB55" s="41">
        <v>0</v>
      </c>
      <c r="DC55" s="5" t="e">
        <f t="shared" si="40"/>
        <v>#REF!</v>
      </c>
      <c r="DK55" s="41">
        <f t="shared" si="41"/>
        <v>0</v>
      </c>
      <c r="DL55" s="41" t="e">
        <f t="shared" si="42"/>
        <v>#REF!</v>
      </c>
      <c r="DN55" s="41" t="e">
        <f t="shared" si="43"/>
        <v>#REF!</v>
      </c>
    </row>
    <row r="56" spans="1:118" ht="15">
      <c r="A56" s="2" t="s">
        <v>35</v>
      </c>
      <c r="E56" s="41" t="e">
        <f>-ROUND(SUMIF(#REF!,A56,#REF!),0)</f>
        <v>#REF!</v>
      </c>
      <c r="F56" s="41"/>
      <c r="G56" s="41" t="e">
        <f>-ROUND(SUMIF(#REF!,A56,#REF!),0)</f>
        <v>#REF!</v>
      </c>
      <c r="I56" s="41">
        <v>1133509</v>
      </c>
      <c r="J56" s="41" t="e">
        <f t="shared" si="36"/>
        <v>#REF!</v>
      </c>
      <c r="AY56" s="41" t="e">
        <f>-AY46</f>
        <v>#REF!</v>
      </c>
      <c r="BF56" s="2" t="e">
        <f>#REF!+#REF!</f>
        <v>#REF!</v>
      </c>
      <c r="BG56" s="2" t="e">
        <f>#REF!</f>
        <v>#REF!</v>
      </c>
      <c r="BH56" s="41" t="e">
        <f>#REF!</f>
        <v>#REF!</v>
      </c>
      <c r="CP56" s="2" t="e">
        <f t="shared" si="37"/>
        <v>#REF!</v>
      </c>
      <c r="CQ56" s="62" t="e">
        <f t="shared" si="38"/>
        <v>#REF!</v>
      </c>
      <c r="CR56" s="62"/>
      <c r="CS56" s="62"/>
      <c r="CU56" s="41" t="e">
        <f t="shared" si="39"/>
        <v>#REF!</v>
      </c>
      <c r="CX56" s="41" t="e">
        <f>-ROUND(SUMIF(#REF!,A56,#REF!),0)</f>
        <v>#REF!</v>
      </c>
      <c r="CZ56" s="41" t="e">
        <f>-ROUND(SUMIF(#REF!,'2019'!A56,#REF!),0)</f>
        <v>#REF!</v>
      </c>
      <c r="DB56" s="41">
        <v>0</v>
      </c>
      <c r="DC56" s="5" t="e">
        <f t="shared" si="40"/>
        <v>#REF!</v>
      </c>
      <c r="DK56" s="41">
        <f t="shared" si="41"/>
        <v>0</v>
      </c>
      <c r="DL56" s="41" t="e">
        <f t="shared" si="42"/>
        <v>#REF!</v>
      </c>
      <c r="DN56" s="41" t="e">
        <f t="shared" si="43"/>
        <v>#REF!</v>
      </c>
    </row>
    <row r="57" spans="1:118" ht="13.5" thickBot="1">
      <c r="A57" s="213"/>
      <c r="B57" s="213"/>
      <c r="C57" s="213"/>
      <c r="E57" s="42" t="e">
        <f>SUM(E50:E56)</f>
        <v>#REF!</v>
      </c>
      <c r="G57" s="42" t="e">
        <f>SUM(G50:G56)</f>
        <v>#REF!</v>
      </c>
      <c r="I57" s="42">
        <f>SUM(I50:I56)</f>
        <v>29070342.000080001</v>
      </c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673"/>
      <c r="CS57" s="673"/>
      <c r="CU57" s="42" t="e">
        <f>SUM(CU50:CU56)</f>
        <v>#REF!</v>
      </c>
      <c r="CX57" s="42" t="e">
        <f>SUM(CX50:CX56)</f>
        <v>#REF!</v>
      </c>
      <c r="CZ57" s="42" t="e">
        <f>SUM(CZ50:CZ56)</f>
        <v>#REF!</v>
      </c>
      <c r="DB57" s="42">
        <f>SUM(DB50:DB56)</f>
        <v>15340489.646654751</v>
      </c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N57" s="42" t="e">
        <f>SUM(DN50:DN56)</f>
        <v>#REF!</v>
      </c>
    </row>
    <row r="58" spans="1:118" ht="13.5" thickTop="1"/>
    <row r="59" spans="1:118" ht="15.75" thickBot="1">
      <c r="A59" s="1" t="s">
        <v>41</v>
      </c>
      <c r="E59" s="42" t="e">
        <f>E57+E47</f>
        <v>#REF!</v>
      </c>
      <c r="G59" s="42" t="e">
        <f>G57+G47</f>
        <v>#REF!</v>
      </c>
      <c r="I59" s="42">
        <f>I57+I47</f>
        <v>83567836</v>
      </c>
      <c r="CU59" s="137" t="e">
        <f>CU57+CU47</f>
        <v>#REF!</v>
      </c>
      <c r="CX59" s="739" t="e">
        <f>CX57+CX47</f>
        <v>#REF!</v>
      </c>
      <c r="CY59" s="1"/>
      <c r="CZ59" s="739" t="e">
        <f>CZ57+CZ47</f>
        <v>#REF!</v>
      </c>
      <c r="DB59" s="739">
        <f>DB57+DB47</f>
        <v>50250536.359999999</v>
      </c>
      <c r="DC59" s="5"/>
      <c r="DN59" s="42" t="e">
        <f>DN57+DN47</f>
        <v>#REF!</v>
      </c>
    </row>
    <row r="60" spans="1:118" ht="16.5" thickTop="1" thickBot="1">
      <c r="A60" s="1" t="s">
        <v>42</v>
      </c>
      <c r="E60" s="43" t="e">
        <f>E59+E37</f>
        <v>#REF!</v>
      </c>
      <c r="F60" s="1"/>
      <c r="G60" s="43" t="e">
        <f>G59+G37</f>
        <v>#REF!</v>
      </c>
      <c r="I60" s="43">
        <f>I59+I37</f>
        <v>91124194</v>
      </c>
      <c r="CU60" s="759" t="e">
        <f>CU59+CU37</f>
        <v>#REF!</v>
      </c>
      <c r="CX60" s="42" t="e">
        <f>CX59+CX37</f>
        <v>#REF!</v>
      </c>
      <c r="CY60" s="636"/>
      <c r="CZ60" s="42" t="e">
        <f>CZ59+CZ37</f>
        <v>#REF!</v>
      </c>
      <c r="DB60" s="42">
        <f>DB59+DB37</f>
        <v>66116158.359999999</v>
      </c>
      <c r="DC60" s="5"/>
      <c r="DN60" s="42" t="e">
        <f>DN59+DN37</f>
        <v>#REF!</v>
      </c>
    </row>
    <row r="61" spans="1:118" ht="14.25" thickTop="1" thickBot="1">
      <c r="A61" s="165" t="s">
        <v>43</v>
      </c>
      <c r="B61" s="166"/>
      <c r="C61" s="166"/>
      <c r="E61" s="751" t="e">
        <f>E60-E31</f>
        <v>#REF!</v>
      </c>
      <c r="G61" s="751" t="e">
        <f>G60-G31</f>
        <v>#REF!</v>
      </c>
      <c r="I61" s="751">
        <f>I60-I31</f>
        <v>253</v>
      </c>
      <c r="J61" s="167" t="e">
        <f t="shared" ref="J61:CQ61" si="44">SUM(J5:J29)-SUM(J34:J60)-SUM(J64:J80)</f>
        <v>#REF!</v>
      </c>
      <c r="K61" s="167" t="e">
        <f t="shared" si="44"/>
        <v>#REF!</v>
      </c>
      <c r="L61" s="167" t="e">
        <f t="shared" si="44"/>
        <v>#REF!</v>
      </c>
      <c r="M61" s="167" t="e">
        <f t="shared" si="44"/>
        <v>#REF!</v>
      </c>
      <c r="N61" s="167" t="e">
        <f t="shared" si="44"/>
        <v>#REF!</v>
      </c>
      <c r="O61" s="167" t="e">
        <f t="shared" ref="O61" si="45">SUM(O5:O29)-SUM(O34:O60)-SUM(O64:O80)</f>
        <v>#REF!</v>
      </c>
      <c r="P61" s="167" t="e">
        <f t="shared" ref="P61" si="46">SUM(P5:P29)-SUM(P34:P60)-SUM(P64:P80)</f>
        <v>#REF!</v>
      </c>
      <c r="Q61" s="167" t="e">
        <f t="shared" ref="Q61" si="47">SUM(Q5:Q29)-SUM(Q34:Q60)-SUM(Q64:Q80)</f>
        <v>#REF!</v>
      </c>
      <c r="R61" s="167" t="e">
        <f t="shared" ref="R61" si="48">SUM(R5:R29)-SUM(R34:R60)-SUM(R64:R80)</f>
        <v>#REF!</v>
      </c>
      <c r="S61" s="167" t="e">
        <f t="shared" ref="S61" si="49">SUM(S5:S29)-SUM(S34:S60)-SUM(S64:S80)</f>
        <v>#REF!</v>
      </c>
      <c r="T61" s="167" t="e">
        <f t="shared" ref="T61" si="50">SUM(T5:T29)-SUM(T34:T60)-SUM(T64:T80)</f>
        <v>#REF!</v>
      </c>
      <c r="U61" s="167" t="e">
        <f t="shared" ref="U61" si="51">SUM(U5:U29)-SUM(U34:U60)-SUM(U64:U80)</f>
        <v>#REF!</v>
      </c>
      <c r="V61" s="167" t="e">
        <f t="shared" ref="V61" si="52">SUM(V5:V29)-SUM(V34:V60)-SUM(V64:V80)</f>
        <v>#REF!</v>
      </c>
      <c r="W61" s="167" t="e">
        <f t="shared" ref="W61" si="53">SUM(W5:W29)-SUM(W34:W60)-SUM(W64:W80)</f>
        <v>#REF!</v>
      </c>
      <c r="X61" s="167" t="e">
        <f t="shared" ref="X61" si="54">SUM(X5:X29)-SUM(X34:X60)-SUM(X64:X80)</f>
        <v>#REF!</v>
      </c>
      <c r="Y61" s="167" t="e">
        <f t="shared" ref="Y61" si="55">SUM(Y5:Y29)-SUM(Y34:Y60)-SUM(Y64:Y80)</f>
        <v>#REF!</v>
      </c>
      <c r="Z61" s="167" t="e">
        <f t="shared" ref="Z61" si="56">SUM(Z5:Z29)-SUM(Z34:Z60)-SUM(Z64:Z80)</f>
        <v>#REF!</v>
      </c>
      <c r="AA61" s="167" t="e">
        <f t="shared" ref="AA61" si="57">SUM(AA5:AA29)-SUM(AA34:AA60)-SUM(AA64:AA80)</f>
        <v>#REF!</v>
      </c>
      <c r="AB61" s="167" t="e">
        <f t="shared" ref="AB61" si="58">SUM(AB5:AB29)-SUM(AB34:AB60)-SUM(AB64:AB80)</f>
        <v>#REF!</v>
      </c>
      <c r="AC61" s="167" t="e">
        <f t="shared" ref="AC61" si="59">SUM(AC5:AC29)-SUM(AC34:AC60)-SUM(AC64:AC80)</f>
        <v>#REF!</v>
      </c>
      <c r="AD61" s="167" t="e">
        <f t="shared" ref="AD61" si="60">SUM(AD5:AD29)-SUM(AD34:AD60)-SUM(AD64:AD80)</f>
        <v>#REF!</v>
      </c>
      <c r="AE61" s="167" t="e">
        <f t="shared" ref="AE61" si="61">SUM(AE5:AE29)-SUM(AE34:AE60)-SUM(AE64:AE80)</f>
        <v>#REF!</v>
      </c>
      <c r="AF61" s="167" t="e">
        <f t="shared" ref="AF61" si="62">SUM(AF5:AF29)-SUM(AF34:AF60)-SUM(AF64:AF80)</f>
        <v>#REF!</v>
      </c>
      <c r="AG61" s="167">
        <f t="shared" ref="AG61" si="63">SUM(AG5:AG29)-SUM(AG34:AG60)-SUM(AG64:AG80)</f>
        <v>0</v>
      </c>
      <c r="AH61" s="167" t="e">
        <f t="shared" ref="AH61" si="64">SUM(AH5:AH29)-SUM(AH34:AH60)-SUM(AH64:AH80)</f>
        <v>#REF!</v>
      </c>
      <c r="AI61" s="167" t="e">
        <f t="shared" ref="AI61" si="65">SUM(AI5:AI29)-SUM(AI34:AI60)-SUM(AI64:AI80)</f>
        <v>#REF!</v>
      </c>
      <c r="AJ61" s="167" t="e">
        <f t="shared" ref="AJ61" si="66">SUM(AJ5:AJ29)-SUM(AJ34:AJ60)-SUM(AJ64:AJ80)</f>
        <v>#REF!</v>
      </c>
      <c r="AK61" s="167" t="e">
        <f t="shared" ref="AK61" si="67">SUM(AK5:AK29)-SUM(AK34:AK60)-SUM(AK64:AK80)</f>
        <v>#REF!</v>
      </c>
      <c r="AL61" s="167" t="e">
        <f t="shared" ref="AL61" si="68">SUM(AL5:AL29)-SUM(AL34:AL60)-SUM(AL64:AL80)</f>
        <v>#REF!</v>
      </c>
      <c r="AM61" s="167" t="e">
        <f t="shared" ref="AM61" si="69">SUM(AM5:AM29)-SUM(AM34:AM60)-SUM(AM64:AM80)</f>
        <v>#REF!</v>
      </c>
      <c r="AN61" s="167" t="e">
        <f t="shared" ref="AN61" si="70">SUM(AN5:AN29)-SUM(AN34:AN60)-SUM(AN64:AN80)</f>
        <v>#REF!</v>
      </c>
      <c r="AO61" s="167" t="e">
        <f t="shared" ref="AO61" si="71">SUM(AO5:AO29)-SUM(AO34:AO60)-SUM(AO64:AO80)</f>
        <v>#REF!</v>
      </c>
      <c r="AP61" s="167" t="e">
        <f t="shared" ref="AP61" si="72">SUM(AP5:AP29)-SUM(AP34:AP60)-SUM(AP64:AP80)</f>
        <v>#REF!</v>
      </c>
      <c r="AQ61" s="167" t="e">
        <f t="shared" ref="AQ61" si="73">SUM(AQ5:AQ29)-SUM(AQ34:AQ60)-SUM(AQ64:AQ80)</f>
        <v>#REF!</v>
      </c>
      <c r="AR61" s="167" t="e">
        <f t="shared" ref="AR61" si="74">SUM(AR5:AR29)-SUM(AR34:AR60)-SUM(AR64:AR80)</f>
        <v>#REF!</v>
      </c>
      <c r="AS61" s="167" t="e">
        <f t="shared" ref="AS61" si="75">SUM(AS5:AS29)-SUM(AS34:AS60)-SUM(AS64:AS80)</f>
        <v>#REF!</v>
      </c>
      <c r="AT61" s="167" t="e">
        <f t="shared" ref="AT61" si="76">SUM(AT5:AT29)-SUM(AT34:AT60)-SUM(AT64:AT80)</f>
        <v>#REF!</v>
      </c>
      <c r="AU61" s="167" t="e">
        <f t="shared" ref="AU61" si="77">SUM(AU5:AU29)-SUM(AU34:AU60)-SUM(AU64:AU80)</f>
        <v>#REF!</v>
      </c>
      <c r="AV61" s="167" t="e">
        <f t="shared" ref="AV61" si="78">SUM(AV5:AV29)-SUM(AV34:AV60)-SUM(AV64:AV80)</f>
        <v>#REF!</v>
      </c>
      <c r="AW61" s="167" t="e">
        <f t="shared" ref="AW61" si="79">SUM(AW5:AW29)-SUM(AW34:AW60)-SUM(AW64:AW80)</f>
        <v>#REF!</v>
      </c>
      <c r="AX61" s="167" t="e">
        <f t="shared" ref="AX61" si="80">SUM(AX5:AX29)-SUM(AX34:AX60)-SUM(AX64:AX80)</f>
        <v>#REF!</v>
      </c>
      <c r="AY61" s="167" t="e">
        <f t="shared" ref="AY61" si="81">SUM(AY5:AY29)-SUM(AY34:AY60)-SUM(AY64:AY80)</f>
        <v>#REF!</v>
      </c>
      <c r="AZ61" s="167" t="e">
        <f t="shared" ref="AZ61" si="82">SUM(AZ5:AZ29)-SUM(AZ34:AZ60)-SUM(AZ64:AZ80)</f>
        <v>#REF!</v>
      </c>
      <c r="BA61" s="167" t="e">
        <f t="shared" ref="BA61" si="83">SUM(BA5:BA29)-SUM(BA34:BA60)-SUM(BA64:BA80)</f>
        <v>#REF!</v>
      </c>
      <c r="BB61" s="167" t="e">
        <f t="shared" ref="BB61" si="84">SUM(BB5:BB29)-SUM(BB34:BB60)-SUM(BB64:BB80)</f>
        <v>#REF!</v>
      </c>
      <c r="BC61" s="167" t="e">
        <f t="shared" ref="BC61" si="85">SUM(BC5:BC29)-SUM(BC34:BC60)-SUM(BC64:BC80)</f>
        <v>#REF!</v>
      </c>
      <c r="BD61" s="167" t="e">
        <f t="shared" ref="BD61" si="86">SUM(BD5:BD29)-SUM(BD34:BD60)-SUM(BD64:BD80)</f>
        <v>#REF!</v>
      </c>
      <c r="BE61" s="167" t="e">
        <f t="shared" ref="BE61" si="87">SUM(BE5:BE29)-SUM(BE34:BE60)-SUM(BE64:BE80)</f>
        <v>#REF!</v>
      </c>
      <c r="BF61" s="167" t="e">
        <f t="shared" ref="BF61" si="88">SUM(BF5:BF29)-SUM(BF34:BF60)-SUM(BF64:BF80)</f>
        <v>#REF!</v>
      </c>
      <c r="BG61" s="167" t="e">
        <f t="shared" ref="BG61" si="89">SUM(BG5:BG29)-SUM(BG34:BG60)-SUM(BG64:BG80)</f>
        <v>#REF!</v>
      </c>
      <c r="BH61" s="167" t="e">
        <f t="shared" ref="BH61" si="90">SUM(BH5:BH29)-SUM(BH34:BH60)-SUM(BH64:BH80)</f>
        <v>#REF!</v>
      </c>
      <c r="BI61" s="167" t="e">
        <f t="shared" ref="BI61" si="91">SUM(BI5:BI29)-SUM(BI34:BI60)-SUM(BI64:BI80)</f>
        <v>#REF!</v>
      </c>
      <c r="BJ61" s="167" t="e">
        <f t="shared" ref="BJ61" si="92">SUM(BJ5:BJ29)-SUM(BJ34:BJ60)-SUM(BJ64:BJ80)</f>
        <v>#REF!</v>
      </c>
      <c r="BK61" s="167" t="e">
        <f t="shared" ref="BK61" si="93">SUM(BK5:BK29)-SUM(BK34:BK60)-SUM(BK64:BK80)</f>
        <v>#REF!</v>
      </c>
      <c r="BL61" s="167" t="e">
        <f t="shared" ref="BL61" si="94">SUM(BL5:BL29)-SUM(BL34:BL60)-SUM(BL64:BL80)</f>
        <v>#REF!</v>
      </c>
      <c r="BM61" s="167" t="e">
        <f t="shared" ref="BM61" si="95">SUM(BM5:BM29)-SUM(BM34:BM60)-SUM(BM64:BM80)</f>
        <v>#REF!</v>
      </c>
      <c r="BN61" s="167" t="e">
        <f t="shared" ref="BN61" si="96">SUM(BN5:BN29)-SUM(BN34:BN60)-SUM(BN64:BN80)</f>
        <v>#REF!</v>
      </c>
      <c r="BO61" s="167" t="e">
        <f t="shared" ref="BO61" si="97">SUM(BO5:BO29)-SUM(BO34:BO60)-SUM(BO64:BO80)</f>
        <v>#REF!</v>
      </c>
      <c r="BP61" s="167" t="e">
        <f t="shared" ref="BP61" si="98">SUM(BP5:BP29)-SUM(BP34:BP60)-SUM(BP64:BP80)</f>
        <v>#REF!</v>
      </c>
      <c r="BQ61" s="167" t="e">
        <f t="shared" ref="BQ61" si="99">SUM(BQ5:BQ29)-SUM(BQ34:BQ60)-SUM(BQ64:BQ80)</f>
        <v>#REF!</v>
      </c>
      <c r="BR61" s="167" t="e">
        <f t="shared" ref="BR61" si="100">SUM(BR5:BR29)-SUM(BR34:BR60)-SUM(BR64:BR80)</f>
        <v>#REF!</v>
      </c>
      <c r="BS61" s="167" t="e">
        <f t="shared" ref="BS61" si="101">SUM(BS5:BS29)-SUM(BS34:BS60)-SUM(BS64:BS80)</f>
        <v>#REF!</v>
      </c>
      <c r="BT61" s="167" t="e">
        <f t="shared" ref="BT61" si="102">SUM(BT5:BT29)-SUM(BT34:BT60)-SUM(BT64:BT80)</f>
        <v>#REF!</v>
      </c>
      <c r="BU61" s="167" t="e">
        <f t="shared" ref="BU61" si="103">SUM(BU5:BU29)-SUM(BU34:BU60)-SUM(BU64:BU80)</f>
        <v>#REF!</v>
      </c>
      <c r="BV61" s="167" t="e">
        <f t="shared" ref="BV61" si="104">SUM(BV5:BV29)-SUM(BV34:BV60)-SUM(BV64:BV80)</f>
        <v>#REF!</v>
      </c>
      <c r="BW61" s="167" t="e">
        <f t="shared" ref="BW61" si="105">SUM(BW5:BW29)-SUM(BW34:BW60)-SUM(BW64:BW80)</f>
        <v>#REF!</v>
      </c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 t="e">
        <f t="shared" si="44"/>
        <v>#REF!</v>
      </c>
      <c r="CQ61" s="167" t="e">
        <f t="shared" si="44"/>
        <v>#REF!</v>
      </c>
      <c r="CR61" s="715"/>
      <c r="CS61" s="715"/>
      <c r="CU61" s="167" t="e">
        <f>CU60-CU31</f>
        <v>#REF!</v>
      </c>
      <c r="CX61" s="751" t="e">
        <f>CX60-CX31</f>
        <v>#REF!</v>
      </c>
      <c r="CZ61" s="751" t="e">
        <f>CZ60-CZ31</f>
        <v>#REF!</v>
      </c>
      <c r="DB61" s="167"/>
      <c r="DC61" s="167" t="e">
        <f t="shared" ref="DC61:DF61" si="106">SUM(DC5:DC29)-SUM(DC34:DC60)-SUM(DC64:DC80)</f>
        <v>#REF!</v>
      </c>
      <c r="DD61" s="167" t="e">
        <f>SUM(DD5:DD29)-SUM(DD34:DD60)-SUM(DD64:DD80)</f>
        <v>#REF!</v>
      </c>
      <c r="DE61" s="167" t="e">
        <f t="shared" si="106"/>
        <v>#REF!</v>
      </c>
      <c r="DF61" s="167" t="e">
        <f t="shared" si="106"/>
        <v>#REF!</v>
      </c>
      <c r="DG61" s="167" t="e">
        <f>SUM(DG5:DG29)-SUM(DG34:DG60)-SUM(DG64:DG80)</f>
        <v>#REF!</v>
      </c>
      <c r="DH61" s="167" t="e">
        <f t="shared" ref="DH61:DJ61" si="107">SUM(DH5:DH29)-SUM(DH34:DH60)-SUM(DH64:DH80)</f>
        <v>#REF!</v>
      </c>
      <c r="DI61" s="167">
        <f t="shared" si="107"/>
        <v>0</v>
      </c>
      <c r="DJ61" s="167" t="e">
        <f t="shared" si="107"/>
        <v>#REF!</v>
      </c>
      <c r="DK61" s="167" t="e">
        <f t="shared" ref="DK61:DL61" si="108">SUM(DK5:DK29)-SUM(DK34:DK60)-SUM(DK64:DK80)</f>
        <v>#REF!</v>
      </c>
      <c r="DL61" s="167" t="e">
        <f t="shared" si="108"/>
        <v>#REF!</v>
      </c>
      <c r="DN61" s="62" t="e">
        <f>DN60-DN31</f>
        <v>#REF!</v>
      </c>
    </row>
    <row r="62" spans="1:118" ht="13.5" thickTop="1"/>
    <row r="64" spans="1:118">
      <c r="A64" s="2" t="s">
        <v>347</v>
      </c>
      <c r="E64" s="749"/>
      <c r="G64" s="41" t="e">
        <f>-ROUND(SUMIF(#REF!,A64,#REF!),0)</f>
        <v>#REF!</v>
      </c>
      <c r="CX64" s="748"/>
      <c r="CZ64" s="41" t="e">
        <f>-ROUND(SUMIF(#REF!,'2019'!A64,#REF!),0)</f>
        <v>#REF!</v>
      </c>
    </row>
    <row r="65" spans="1:107">
      <c r="A65" s="2" t="s">
        <v>348</v>
      </c>
      <c r="E65" s="749"/>
      <c r="G65" s="41" t="e">
        <f>-ROUND(SUMIF(#REF!,A65,#REF!),0)</f>
        <v>#REF!</v>
      </c>
      <c r="CX65" s="749"/>
      <c r="CZ65" s="41" t="e">
        <f>-ROUND(SUMIF(#REF!,'2019'!A65,#REF!),0)</f>
        <v>#REF!</v>
      </c>
      <c r="DB65" s="41"/>
      <c r="DC65" s="41"/>
    </row>
    <row r="66" spans="1:107" ht="13.5" thickBot="1">
      <c r="A66" s="556" t="s">
        <v>349</v>
      </c>
      <c r="B66" s="213"/>
      <c r="C66" s="213"/>
      <c r="E66" s="749"/>
      <c r="G66" s="42" t="e">
        <f>SUM(G64:G65)</f>
        <v>#REF!</v>
      </c>
      <c r="CX66" s="749"/>
      <c r="CZ66" s="42" t="e">
        <f>SUM(CZ64:CZ65)</f>
        <v>#REF!</v>
      </c>
      <c r="DB66" s="41"/>
    </row>
    <row r="67" spans="1:107" ht="13.5" thickTop="1">
      <c r="E67" s="749"/>
      <c r="CX67" s="749"/>
    </row>
    <row r="68" spans="1:107">
      <c r="A68" s="2" t="s">
        <v>350</v>
      </c>
      <c r="E68" s="749"/>
      <c r="G68" s="41" t="e">
        <f>-ROUND(SUMIF(#REF!,A68,#REF!),0)</f>
        <v>#REF!</v>
      </c>
      <c r="CX68" s="749"/>
      <c r="CZ68" s="41" t="e">
        <f>-ROUND(SUMIF(#REF!,'2019'!A68,#REF!),0)</f>
        <v>#REF!</v>
      </c>
    </row>
    <row r="69" spans="1:107">
      <c r="A69" s="2" t="s">
        <v>351</v>
      </c>
      <c r="E69" s="749"/>
      <c r="G69" s="41" t="e">
        <f>-ROUND(SUMIF(#REF!,A69,#REF!),0)</f>
        <v>#REF!</v>
      </c>
      <c r="CX69" s="749"/>
      <c r="CZ69" s="41" t="e">
        <f>-ROUND(SUMIF(#REF!,'2019'!A69,#REF!),0)</f>
        <v>#REF!</v>
      </c>
    </row>
    <row r="70" spans="1:107">
      <c r="A70" s="2" t="s">
        <v>352</v>
      </c>
      <c r="E70" s="749"/>
      <c r="G70" s="41" t="e">
        <f>-ROUND(SUMIF(#REF!,A70,#REF!),0)</f>
        <v>#REF!</v>
      </c>
      <c r="CX70" s="749"/>
      <c r="CZ70" s="41" t="e">
        <f>-ROUND(SUMIF(#REF!,'2019'!A70,#REF!),0)</f>
        <v>#REF!</v>
      </c>
    </row>
    <row r="71" spans="1:107">
      <c r="A71" s="2" t="s">
        <v>353</v>
      </c>
      <c r="E71" s="749"/>
      <c r="G71" s="41" t="e">
        <f>-ROUND(SUMIF(#REF!,A71,#REF!),0)</f>
        <v>#REF!</v>
      </c>
      <c r="CX71" s="749"/>
      <c r="CZ71" s="41" t="e">
        <f>-ROUND(SUMIF(#REF!,'2019'!A71,#REF!),0)</f>
        <v>#REF!</v>
      </c>
    </row>
    <row r="72" spans="1:107">
      <c r="A72" s="2" t="s">
        <v>354</v>
      </c>
      <c r="E72" s="749"/>
      <c r="G72" s="41" t="e">
        <f>-ROUND(SUMIF(#REF!,A72,#REF!),0)</f>
        <v>#REF!</v>
      </c>
      <c r="CX72" s="749"/>
      <c r="CZ72" s="41" t="e">
        <f>-ROUND(SUMIF(#REF!,'2019'!A72,#REF!),0)</f>
        <v>#REF!</v>
      </c>
    </row>
    <row r="73" spans="1:107">
      <c r="A73" s="2" t="s">
        <v>2969</v>
      </c>
      <c r="E73" s="749"/>
      <c r="G73" s="41" t="e">
        <f>-ROUND(SUMIF(#REF!,A73,#REF!),0)</f>
        <v>#REF!</v>
      </c>
      <c r="CX73" s="749"/>
      <c r="CZ73" s="41" t="e">
        <f>-ROUND(SUMIF(#REF!,'2019'!A73,#REF!),0)</f>
        <v>#REF!</v>
      </c>
    </row>
    <row r="74" spans="1:107" ht="13.5" thickBot="1">
      <c r="A74" s="556" t="s">
        <v>356</v>
      </c>
      <c r="B74" s="213"/>
      <c r="C74" s="213"/>
      <c r="E74" s="749"/>
      <c r="G74" s="42" t="e">
        <f>SUM(G66:G73)</f>
        <v>#REF!</v>
      </c>
      <c r="CX74" s="749"/>
      <c r="CZ74" s="42" t="e">
        <f>SUM(CZ66:CZ73)</f>
        <v>#REF!</v>
      </c>
    </row>
    <row r="75" spans="1:107" ht="13.5" thickTop="1">
      <c r="A75" s="2" t="s">
        <v>355</v>
      </c>
      <c r="E75" s="749"/>
      <c r="G75" s="41" t="e">
        <f>-ROUND(SUMIF(#REF!,A75,#REF!),0)</f>
        <v>#REF!</v>
      </c>
      <c r="CX75" s="749"/>
      <c r="CZ75" s="41" t="e">
        <f>-ROUND(SUMIF(#REF!,'2019'!A75,#REF!),0)</f>
        <v>#REF!</v>
      </c>
    </row>
    <row r="76" spans="1:107">
      <c r="A76" s="2" t="s">
        <v>357</v>
      </c>
      <c r="E76" s="749"/>
      <c r="G76" s="41" t="e">
        <f>-ROUND(SUMIF(#REF!,A76,#REF!),0)</f>
        <v>#REF!</v>
      </c>
      <c r="CX76" s="749"/>
      <c r="CZ76" s="41" t="e">
        <f>-ROUND(SUMIF(#REF!,'2019'!A76,#REF!),0)</f>
        <v>#REF!</v>
      </c>
    </row>
    <row r="77" spans="1:107">
      <c r="A77" s="2" t="s">
        <v>358</v>
      </c>
      <c r="E77" s="749"/>
      <c r="G77" s="41" t="e">
        <f>-ROUND(SUMIF(#REF!,A77,#REF!),0)</f>
        <v>#REF!</v>
      </c>
      <c r="CX77" s="749"/>
      <c r="CZ77" s="41" t="e">
        <f>-ROUND(SUMIF(#REF!,'2019'!A77,#REF!),0)</f>
        <v>#REF!</v>
      </c>
    </row>
    <row r="78" spans="1:107" ht="13.5" thickBot="1">
      <c r="A78" s="556"/>
      <c r="B78" s="213"/>
      <c r="C78" s="213"/>
      <c r="E78" s="749"/>
      <c r="G78" s="42" t="e">
        <f>SUM(G74:G77)</f>
        <v>#REF!</v>
      </c>
      <c r="CX78" s="749"/>
      <c r="CZ78" s="42" t="e">
        <f>SUM(CZ74:CZ77)</f>
        <v>#REF!</v>
      </c>
    </row>
    <row r="79" spans="1:107" ht="13.5" thickTop="1">
      <c r="E79" s="749"/>
      <c r="CX79" s="749"/>
    </row>
    <row r="80" spans="1:107">
      <c r="A80" s="2" t="s">
        <v>359</v>
      </c>
      <c r="E80" s="749"/>
      <c r="G80" s="41" t="e">
        <f>-ROUND(SUMIF(#REF!,A80,#REF!),0)</f>
        <v>#REF!</v>
      </c>
      <c r="CX80" s="749"/>
      <c r="CZ80" s="41" t="e">
        <f>-ROUND(SUMIF(#REF!,'2019'!A80,#REF!),0)</f>
        <v>#REF!</v>
      </c>
    </row>
    <row r="81" spans="1:104" ht="13.5" thickBot="1">
      <c r="A81" s="556"/>
      <c r="B81" s="213"/>
      <c r="C81" s="213"/>
      <c r="E81" s="749"/>
      <c r="G81" s="42" t="e">
        <f>G80+G78</f>
        <v>#REF!</v>
      </c>
      <c r="CX81" s="749"/>
      <c r="CZ81" s="42" t="e">
        <f>CZ80+CZ78</f>
        <v>#REF!</v>
      </c>
    </row>
    <row r="82" spans="1:104" ht="13.5" thickTop="1"/>
  </sheetData>
  <mergeCells count="6">
    <mergeCell ref="EB2:ED2"/>
    <mergeCell ref="EF2:EH2"/>
    <mergeCell ref="E2:G2"/>
    <mergeCell ref="DP2:DR2"/>
    <mergeCell ref="DT2:DV2"/>
    <mergeCell ref="DX2:DZ2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zoomScale="80" zoomScaleNormal="80" workbookViewId="0">
      <selection activeCell="A3" sqref="A3"/>
    </sheetView>
  </sheetViews>
  <sheetFormatPr defaultColWidth="8.7109375" defaultRowHeight="12.75"/>
  <cols>
    <col min="1" max="2" width="8.7109375" style="130"/>
    <col min="3" max="3" width="16.7109375" style="130" customWidth="1"/>
    <col min="4" max="4" width="14.5703125" style="130" customWidth="1"/>
    <col min="5" max="5" width="14.42578125" style="130" customWidth="1"/>
    <col min="6" max="6" width="15.140625" style="130" customWidth="1"/>
    <col min="7" max="7" width="18.28515625" style="130" customWidth="1"/>
    <col min="8" max="8" width="5.140625" style="130" customWidth="1"/>
    <col min="9" max="9" width="19.140625" style="130" customWidth="1"/>
    <col min="10" max="13" width="8.7109375" style="130"/>
    <col min="14" max="14" width="9.140625" style="130" bestFit="1" customWidth="1"/>
    <col min="15" max="16384" width="8.7109375" style="130"/>
  </cols>
  <sheetData>
    <row r="2" spans="1:16">
      <c r="A2" s="129">
        <v>8</v>
      </c>
      <c r="B2" s="129" t="s">
        <v>714</v>
      </c>
    </row>
    <row r="4" spans="1:16" s="168" customFormat="1" ht="25.5">
      <c r="D4" s="169" t="s">
        <v>695</v>
      </c>
      <c r="E4" s="169" t="s">
        <v>696</v>
      </c>
      <c r="F4" s="169" t="s">
        <v>715</v>
      </c>
      <c r="G4" s="895" t="s">
        <v>3218</v>
      </c>
      <c r="H4" s="169"/>
      <c r="I4" s="895" t="s">
        <v>677</v>
      </c>
      <c r="K4" s="678"/>
      <c r="L4" s="678"/>
      <c r="M4" s="678"/>
      <c r="N4" s="678"/>
      <c r="O4" s="678"/>
      <c r="P4" s="678"/>
    </row>
    <row r="5" spans="1:16">
      <c r="B5" s="130" t="s">
        <v>693</v>
      </c>
      <c r="D5" s="128" t="s">
        <v>710</v>
      </c>
      <c r="E5" s="171" t="s">
        <v>708</v>
      </c>
      <c r="F5" s="128" t="s">
        <v>2064</v>
      </c>
      <c r="G5" s="131">
        <v>5830373</v>
      </c>
      <c r="I5" s="131">
        <v>5763073</v>
      </c>
      <c r="K5" s="559"/>
      <c r="L5" s="724"/>
      <c r="M5" s="640"/>
      <c r="N5" s="640"/>
      <c r="O5" s="640"/>
      <c r="P5" s="641"/>
    </row>
    <row r="6" spans="1:16">
      <c r="B6" s="130" t="s">
        <v>694</v>
      </c>
      <c r="D6" s="128" t="s">
        <v>711</v>
      </c>
      <c r="E6" s="171" t="s">
        <v>709</v>
      </c>
      <c r="F6" s="128">
        <v>2019</v>
      </c>
      <c r="G6" s="131">
        <v>57023</v>
      </c>
      <c r="I6" s="131">
        <v>181685</v>
      </c>
      <c r="K6" s="559"/>
      <c r="L6" s="724"/>
      <c r="M6" s="640"/>
      <c r="N6" s="640"/>
      <c r="O6" s="640"/>
      <c r="P6" s="641"/>
    </row>
    <row r="7" spans="1:16">
      <c r="B7" s="130" t="s">
        <v>686</v>
      </c>
      <c r="D7" s="171" t="s">
        <v>711</v>
      </c>
      <c r="E7" s="894">
        <v>0</v>
      </c>
      <c r="F7" s="128">
        <v>2020</v>
      </c>
      <c r="G7" s="131">
        <v>12000</v>
      </c>
      <c r="I7" s="131">
        <v>0</v>
      </c>
      <c r="K7" s="559"/>
      <c r="L7" s="815"/>
      <c r="M7" s="640"/>
      <c r="N7" s="640"/>
      <c r="O7" s="640"/>
      <c r="P7" s="641"/>
    </row>
    <row r="8" spans="1:16" ht="13.5" thickBot="1">
      <c r="B8" s="129" t="s">
        <v>2950</v>
      </c>
      <c r="G8" s="140">
        <f>SUM(G5:G7)</f>
        <v>5899396</v>
      </c>
      <c r="I8" s="140">
        <f>SUM(I5:I6)</f>
        <v>5944758</v>
      </c>
      <c r="K8" s="559"/>
      <c r="L8" s="724"/>
      <c r="M8" s="640"/>
      <c r="N8" s="640"/>
      <c r="O8" s="640"/>
      <c r="P8" s="641"/>
    </row>
    <row r="9" spans="1:16" ht="13.5" thickTop="1">
      <c r="B9" s="129"/>
      <c r="F9" s="786" t="s">
        <v>698</v>
      </c>
      <c r="G9" s="785">
        <v>4845375</v>
      </c>
      <c r="I9" s="785"/>
      <c r="K9" s="559"/>
      <c r="L9" s="784"/>
      <c r="M9" s="640"/>
      <c r="N9" s="640"/>
      <c r="O9" s="640"/>
      <c r="P9" s="641"/>
    </row>
    <row r="10" spans="1:16">
      <c r="B10" s="129"/>
      <c r="F10" s="786" t="s">
        <v>697</v>
      </c>
      <c r="G10" s="785">
        <v>1054021</v>
      </c>
      <c r="I10" s="785"/>
      <c r="K10" s="559"/>
      <c r="L10" s="784"/>
      <c r="M10" s="640"/>
      <c r="N10" s="640"/>
      <c r="O10" s="640"/>
      <c r="P10" s="641"/>
    </row>
    <row r="11" spans="1:16">
      <c r="B11" s="143"/>
      <c r="G11" s="144">
        <f>ББ!D28-G10</f>
        <v>0</v>
      </c>
      <c r="I11" s="144">
        <f>ББ!F28-I8</f>
        <v>0</v>
      </c>
      <c r="K11" s="641"/>
      <c r="L11" s="641"/>
      <c r="M11" s="641"/>
      <c r="N11" s="641"/>
      <c r="O11" s="641"/>
      <c r="P11" s="641"/>
    </row>
    <row r="12" spans="1:16" s="170" customFormat="1">
      <c r="G12" s="144">
        <f>G9-ББ!D15</f>
        <v>0</v>
      </c>
      <c r="I12" s="144"/>
      <c r="K12" s="679"/>
      <c r="L12" s="679"/>
      <c r="M12" s="679"/>
      <c r="N12" s="679"/>
      <c r="O12" s="679"/>
      <c r="P12" s="679"/>
    </row>
    <row r="13" spans="1:16" s="170" customFormat="1">
      <c r="B13" s="143"/>
      <c r="G13" s="144"/>
      <c r="K13" s="679"/>
      <c r="L13" s="679"/>
      <c r="M13" s="679"/>
      <c r="N13" s="679"/>
      <c r="O13" s="679"/>
      <c r="P13" s="679"/>
    </row>
    <row r="14" spans="1:16" s="170" customFormat="1">
      <c r="B14" s="143"/>
      <c r="G14" s="144"/>
      <c r="K14" s="679"/>
      <c r="L14" s="679"/>
      <c r="M14" s="679"/>
      <c r="N14" s="679"/>
      <c r="O14" s="679"/>
      <c r="P14" s="679"/>
    </row>
    <row r="15" spans="1:16" s="170" customFormat="1">
      <c r="B15" s="143"/>
      <c r="G15" s="144"/>
    </row>
    <row r="16" spans="1:16" s="170" customFormat="1">
      <c r="B16" s="143"/>
      <c r="G16" s="144"/>
    </row>
    <row r="17" spans="2:7" s="170" customFormat="1">
      <c r="B17" s="143"/>
      <c r="G17" s="144"/>
    </row>
    <row r="18" spans="2:7" s="170" customFormat="1">
      <c r="B18" s="143"/>
      <c r="G18" s="144"/>
    </row>
    <row r="19" spans="2:7" s="170" customFormat="1">
      <c r="B19" s="143"/>
      <c r="G19" s="144"/>
    </row>
    <row r="20" spans="2:7" s="170" customFormat="1">
      <c r="B20" s="143"/>
      <c r="G20" s="144"/>
    </row>
    <row r="21" spans="2:7" s="170" customFormat="1">
      <c r="B21" s="143"/>
      <c r="G21" s="144"/>
    </row>
    <row r="22" spans="2:7" s="170" customFormat="1">
      <c r="B22" s="143"/>
      <c r="G22" s="144"/>
    </row>
    <row r="23" spans="2:7" s="170" customFormat="1">
      <c r="B23" s="143"/>
      <c r="G23" s="144"/>
    </row>
    <row r="24" spans="2:7" s="170" customFormat="1">
      <c r="B24" s="143"/>
      <c r="G24" s="144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zoomScale="115" zoomScaleNormal="115" workbookViewId="0">
      <selection activeCell="D8" sqref="D8"/>
    </sheetView>
  </sheetViews>
  <sheetFormatPr defaultColWidth="8.7109375" defaultRowHeight="12"/>
  <cols>
    <col min="1" max="3" width="8.7109375" style="133"/>
    <col min="4" max="4" width="12.85546875" style="133" bestFit="1" customWidth="1"/>
    <col min="5" max="5" width="8.7109375" style="133"/>
    <col min="6" max="6" width="11" style="133" bestFit="1" customWidth="1"/>
    <col min="7" max="7" width="10.28515625" style="133" bestFit="1" customWidth="1"/>
    <col min="8" max="8" width="9" style="133" bestFit="1" customWidth="1"/>
    <col min="9" max="11" width="8.7109375" style="133"/>
    <col min="12" max="12" width="10.42578125" style="133" bestFit="1" customWidth="1"/>
    <col min="13" max="16384" width="8.7109375" style="133"/>
  </cols>
  <sheetData>
    <row r="2" spans="1:14">
      <c r="A2" s="132">
        <v>9</v>
      </c>
      <c r="B2" s="132" t="s">
        <v>716</v>
      </c>
    </row>
    <row r="6" spans="1:14" ht="24">
      <c r="D6" s="174" t="s">
        <v>3218</v>
      </c>
      <c r="E6" s="172"/>
      <c r="F6" s="174" t="s">
        <v>677</v>
      </c>
      <c r="H6" s="558"/>
      <c r="I6" s="558"/>
      <c r="J6" s="558"/>
      <c r="K6" s="558"/>
      <c r="L6" s="558"/>
      <c r="M6" s="558"/>
      <c r="N6" s="558"/>
    </row>
    <row r="7" spans="1:14">
      <c r="B7" s="133" t="s">
        <v>2500</v>
      </c>
      <c r="D7" s="134">
        <v>1851349</v>
      </c>
      <c r="F7" s="134">
        <v>2488572</v>
      </c>
      <c r="H7" s="558"/>
      <c r="I7" s="558"/>
      <c r="J7" s="558"/>
      <c r="K7" s="558"/>
      <c r="L7" s="558"/>
      <c r="M7" s="558"/>
      <c r="N7" s="558"/>
    </row>
    <row r="8" spans="1:14">
      <c r="B8" s="133" t="s">
        <v>2499</v>
      </c>
      <c r="D8" s="134">
        <v>1834731</v>
      </c>
      <c r="F8" s="134">
        <v>2670390</v>
      </c>
      <c r="H8" s="731"/>
      <c r="I8" s="622"/>
      <c r="J8" s="558"/>
      <c r="K8" s="561"/>
      <c r="L8" s="561"/>
      <c r="M8" s="558"/>
      <c r="N8" s="558"/>
    </row>
    <row r="9" spans="1:14" s="132" customFormat="1" ht="12.75" thickBot="1">
      <c r="D9" s="136">
        <f>SUM(D7:D8)</f>
        <v>3686080</v>
      </c>
      <c r="F9" s="136">
        <f>SUM(F7:F8)</f>
        <v>5158962</v>
      </c>
      <c r="H9" s="559"/>
      <c r="I9" s="724"/>
      <c r="J9" s="680"/>
      <c r="K9" s="561"/>
      <c r="L9" s="561"/>
      <c r="M9" s="680"/>
      <c r="N9" s="680"/>
    </row>
    <row r="10" spans="1:14" ht="13.5" thickTop="1">
      <c r="D10" s="176">
        <f>ББ!D14+ББ!D24-D9</f>
        <v>0</v>
      </c>
      <c r="F10" s="176">
        <f>ББ!F14+ББ!F24-F9</f>
        <v>0</v>
      </c>
      <c r="H10" s="696"/>
      <c r="I10" s="558"/>
      <c r="J10" s="558"/>
      <c r="K10" s="558"/>
      <c r="L10" s="558"/>
      <c r="M10" s="558"/>
      <c r="N10" s="558"/>
    </row>
    <row r="11" spans="1:14" ht="12.75">
      <c r="H11" s="696"/>
      <c r="I11" s="558"/>
      <c r="J11" s="558"/>
      <c r="K11" s="558"/>
      <c r="L11" s="558"/>
      <c r="M11" s="558"/>
      <c r="N11" s="558"/>
    </row>
    <row r="12" spans="1:14">
      <c r="H12" s="558"/>
      <c r="I12" s="558"/>
      <c r="J12" s="558"/>
      <c r="K12" s="558"/>
      <c r="L12" s="558"/>
      <c r="M12" s="558"/>
      <c r="N12" s="558"/>
    </row>
    <row r="13" spans="1:14">
      <c r="H13" s="558"/>
      <c r="I13" s="558"/>
      <c r="J13" s="558"/>
      <c r="K13" s="558"/>
      <c r="L13" s="558"/>
      <c r="M13" s="558"/>
      <c r="N13" s="558"/>
    </row>
    <row r="14" spans="1:14" ht="15">
      <c r="F14" s="797"/>
    </row>
    <row r="15" spans="1:14" ht="15">
      <c r="F15" s="797"/>
    </row>
    <row r="18" spans="6:8">
      <c r="F18" s="134"/>
      <c r="G18" s="134"/>
      <c r="H18" s="134"/>
    </row>
    <row r="19" spans="6:8">
      <c r="F19" s="134"/>
      <c r="G19" s="134"/>
      <c r="H19" s="13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8"/>
  <sheetViews>
    <sheetView zoomScale="80" zoomScaleNormal="80" workbookViewId="0">
      <selection activeCell="B1" sqref="B1"/>
    </sheetView>
  </sheetViews>
  <sheetFormatPr defaultColWidth="8.7109375" defaultRowHeight="12.75"/>
  <cols>
    <col min="1" max="1" width="39.28515625" style="211" customWidth="1"/>
    <col min="2" max="2" width="12.140625" style="211" customWidth="1"/>
    <col min="3" max="3" width="16.28515625" style="211" customWidth="1"/>
    <col min="4" max="4" width="17.85546875" style="211" customWidth="1"/>
    <col min="5" max="5" width="13.5703125" style="211" customWidth="1"/>
    <col min="6" max="6" width="12.140625" style="211" customWidth="1"/>
    <col min="7" max="7" width="17.85546875" style="211" customWidth="1"/>
    <col min="8" max="9" width="8.7109375" style="211"/>
    <col min="10" max="10" width="17.85546875" style="211" customWidth="1"/>
    <col min="11" max="12" width="8.7109375" style="211"/>
    <col min="13" max="13" width="9.140625" style="211" bestFit="1" customWidth="1"/>
    <col min="14" max="16384" width="8.7109375" style="211"/>
  </cols>
  <sheetData>
    <row r="1" spans="1:9">
      <c r="A1" s="211" t="s">
        <v>2947</v>
      </c>
      <c r="B1" s="291">
        <f>B94+B99+F12</f>
        <v>400881.38678</v>
      </c>
    </row>
    <row r="5" spans="1:9">
      <c r="A5" s="369" t="s">
        <v>342</v>
      </c>
      <c r="B5" s="983" t="s">
        <v>51</v>
      </c>
      <c r="C5" s="983"/>
      <c r="D5" s="983" t="s">
        <v>52</v>
      </c>
      <c r="E5" s="983"/>
      <c r="F5" s="983" t="s">
        <v>53</v>
      </c>
      <c r="G5" s="983"/>
      <c r="H5" s="984"/>
    </row>
    <row r="6" spans="1:9">
      <c r="A6" s="985" t="s">
        <v>700</v>
      </c>
      <c r="B6" s="983" t="s">
        <v>54</v>
      </c>
      <c r="C6" s="983" t="s">
        <v>55</v>
      </c>
      <c r="D6" s="983" t="s">
        <v>54</v>
      </c>
      <c r="E6" s="983" t="s">
        <v>55</v>
      </c>
      <c r="F6" s="983" t="s">
        <v>54</v>
      </c>
      <c r="G6" s="983" t="s">
        <v>55</v>
      </c>
      <c r="H6" s="984"/>
    </row>
    <row r="7" spans="1:9">
      <c r="A7" s="985"/>
      <c r="B7" s="983"/>
      <c r="C7" s="983"/>
      <c r="D7" s="983"/>
      <c r="E7" s="983"/>
      <c r="F7" s="983"/>
      <c r="G7" s="983"/>
      <c r="H7" s="984"/>
    </row>
    <row r="8" spans="1:9">
      <c r="A8" s="367">
        <v>1610</v>
      </c>
      <c r="B8" s="368">
        <v>273815.85269999999</v>
      </c>
      <c r="C8" s="368">
        <v>0</v>
      </c>
      <c r="D8" s="368">
        <v>10453196.10877</v>
      </c>
      <c r="E8" s="368">
        <v>8795572.5401000008</v>
      </c>
      <c r="F8" s="368">
        <v>1931439.4213699999</v>
      </c>
      <c r="G8" s="368">
        <v>0</v>
      </c>
      <c r="I8" s="373" t="s">
        <v>2169</v>
      </c>
    </row>
    <row r="9" spans="1:9">
      <c r="A9" s="370" t="s">
        <v>737</v>
      </c>
      <c r="B9" s="371">
        <v>0</v>
      </c>
      <c r="C9" s="371">
        <v>0</v>
      </c>
      <c r="D9" s="371">
        <v>15737.542800000001</v>
      </c>
      <c r="E9" s="371">
        <v>15696.18792</v>
      </c>
      <c r="F9" s="372">
        <v>41.354879999999994</v>
      </c>
      <c r="G9" s="371">
        <v>0</v>
      </c>
      <c r="H9" s="211" t="s">
        <v>2154</v>
      </c>
      <c r="I9" s="211" t="s">
        <v>2170</v>
      </c>
    </row>
    <row r="10" spans="1:9">
      <c r="A10" s="370" t="s">
        <v>740</v>
      </c>
      <c r="B10" s="371">
        <v>0</v>
      </c>
      <c r="C10" s="371">
        <v>0</v>
      </c>
      <c r="D10" s="371">
        <v>2787.8139999999999</v>
      </c>
      <c r="E10" s="371">
        <v>2739.4859999999999</v>
      </c>
      <c r="F10" s="371">
        <v>48.328000000000003</v>
      </c>
      <c r="G10" s="371">
        <v>0</v>
      </c>
    </row>
    <row r="11" spans="1:9">
      <c r="A11" s="370" t="s">
        <v>745</v>
      </c>
      <c r="B11" s="371">
        <v>0</v>
      </c>
      <c r="C11" s="371">
        <v>0</v>
      </c>
      <c r="D11" s="371">
        <v>10474.67626</v>
      </c>
      <c r="E11" s="371">
        <v>9113.0261799999989</v>
      </c>
      <c r="F11" s="372">
        <v>1361.6500800000001</v>
      </c>
      <c r="G11" s="371">
        <v>0</v>
      </c>
      <c r="H11" s="211" t="s">
        <v>2154</v>
      </c>
      <c r="I11" s="211" t="s">
        <v>2170</v>
      </c>
    </row>
    <row r="12" spans="1:9">
      <c r="A12" s="370" t="s">
        <v>748</v>
      </c>
      <c r="B12" s="371">
        <v>0</v>
      </c>
      <c r="C12" s="371">
        <v>0</v>
      </c>
      <c r="D12" s="371">
        <v>1058516.08705</v>
      </c>
      <c r="E12" s="371">
        <v>695708.59927999997</v>
      </c>
      <c r="F12" s="372">
        <v>362807.48777000001</v>
      </c>
      <c r="G12" s="371">
        <v>0</v>
      </c>
      <c r="H12" s="211" t="s">
        <v>2155</v>
      </c>
      <c r="I12" s="211" t="s">
        <v>2168</v>
      </c>
    </row>
    <row r="13" spans="1:9">
      <c r="A13" s="370" t="s">
        <v>756</v>
      </c>
      <c r="B13" s="371">
        <v>0</v>
      </c>
      <c r="C13" s="371">
        <v>0</v>
      </c>
      <c r="D13" s="371">
        <v>200613.44</v>
      </c>
      <c r="E13" s="371">
        <v>192967.04000000001</v>
      </c>
      <c r="F13" s="372">
        <v>7646.4</v>
      </c>
      <c r="G13" s="371">
        <v>0</v>
      </c>
      <c r="H13" s="211" t="s">
        <v>2156</v>
      </c>
      <c r="I13" s="211" t="s">
        <v>2170</v>
      </c>
    </row>
    <row r="14" spans="1:9">
      <c r="A14" s="370" t="s">
        <v>769</v>
      </c>
      <c r="B14" s="371">
        <v>0</v>
      </c>
      <c r="C14" s="371">
        <v>0</v>
      </c>
      <c r="D14" s="371">
        <v>128906.819</v>
      </c>
      <c r="E14" s="371">
        <v>0</v>
      </c>
      <c r="F14" s="372">
        <v>128906.819</v>
      </c>
      <c r="G14" s="371">
        <v>0</v>
      </c>
      <c r="H14" s="211" t="s">
        <v>2154</v>
      </c>
      <c r="I14" s="211" t="s">
        <v>2170</v>
      </c>
    </row>
    <row r="15" spans="1:9">
      <c r="A15" s="370" t="s">
        <v>771</v>
      </c>
      <c r="B15" s="371">
        <v>0</v>
      </c>
      <c r="C15" s="371">
        <v>0</v>
      </c>
      <c r="D15" s="371">
        <v>59.4</v>
      </c>
      <c r="E15" s="371">
        <v>0</v>
      </c>
      <c r="F15" s="371">
        <v>59.4</v>
      </c>
      <c r="G15" s="371">
        <v>0</v>
      </c>
    </row>
    <row r="16" spans="1:9">
      <c r="A16" s="370" t="s">
        <v>774</v>
      </c>
      <c r="B16" s="371">
        <v>1009.37784</v>
      </c>
      <c r="C16" s="371">
        <v>0</v>
      </c>
      <c r="D16" s="371">
        <v>5379.6606700000002</v>
      </c>
      <c r="E16" s="371">
        <v>3714.5496200000002</v>
      </c>
      <c r="F16" s="372">
        <v>2674.4888900000001</v>
      </c>
      <c r="G16" s="371">
        <v>0</v>
      </c>
      <c r="H16" s="211" t="s">
        <v>2155</v>
      </c>
      <c r="I16" s="211" t="s">
        <v>2170</v>
      </c>
    </row>
    <row r="17" spans="1:13">
      <c r="A17" s="370" t="s">
        <v>777</v>
      </c>
      <c r="B17" s="371">
        <v>697.57643999999993</v>
      </c>
      <c r="C17" s="371">
        <v>0</v>
      </c>
      <c r="D17" s="371">
        <v>866.3</v>
      </c>
      <c r="E17" s="371">
        <v>740.29807999999991</v>
      </c>
      <c r="F17" s="371">
        <v>823.57835999999998</v>
      </c>
      <c r="G17" s="371">
        <v>0</v>
      </c>
    </row>
    <row r="18" spans="1:13">
      <c r="A18" s="370" t="s">
        <v>789</v>
      </c>
      <c r="B18" s="371">
        <v>0</v>
      </c>
      <c r="C18" s="371">
        <v>0</v>
      </c>
      <c r="D18" s="371">
        <v>5068.7359999999999</v>
      </c>
      <c r="E18" s="371">
        <v>4965.7359999999999</v>
      </c>
      <c r="F18" s="371">
        <v>103</v>
      </c>
      <c r="G18" s="371">
        <v>0</v>
      </c>
      <c r="M18" s="291">
        <f>ROUND('Авансы выданные'!B94+'Авансы выданные'!F12,0)</f>
        <v>364207</v>
      </c>
    </row>
    <row r="19" spans="1:13">
      <c r="A19" s="370" t="s">
        <v>791</v>
      </c>
      <c r="B19" s="371">
        <v>0</v>
      </c>
      <c r="C19" s="371">
        <v>0</v>
      </c>
      <c r="D19" s="371">
        <v>497.5</v>
      </c>
      <c r="E19" s="371">
        <v>227.5</v>
      </c>
      <c r="F19" s="371">
        <v>270</v>
      </c>
      <c r="G19" s="371">
        <v>0</v>
      </c>
    </row>
    <row r="20" spans="1:13">
      <c r="A20" s="370" t="s">
        <v>795</v>
      </c>
      <c r="B20" s="371">
        <v>0</v>
      </c>
      <c r="C20" s="371">
        <v>0</v>
      </c>
      <c r="D20" s="371">
        <v>15039.15</v>
      </c>
      <c r="E20" s="371">
        <v>14640.85</v>
      </c>
      <c r="F20" s="371">
        <v>398.3</v>
      </c>
      <c r="G20" s="371">
        <v>0</v>
      </c>
    </row>
    <row r="21" spans="1:13">
      <c r="A21" s="370" t="s">
        <v>807</v>
      </c>
      <c r="B21" s="371">
        <v>156723.70449999999</v>
      </c>
      <c r="C21" s="371">
        <v>0</v>
      </c>
      <c r="D21" s="371">
        <v>5449517.3536200002</v>
      </c>
      <c r="E21" s="371">
        <v>4767338.6477000006</v>
      </c>
      <c r="F21" s="372">
        <v>838902.41041999997</v>
      </c>
      <c r="G21" s="371">
        <v>0</v>
      </c>
      <c r="H21" s="211" t="s">
        <v>2157</v>
      </c>
      <c r="I21" s="211" t="s">
        <v>2170</v>
      </c>
    </row>
    <row r="22" spans="1:13">
      <c r="A22" s="370" t="s">
        <v>818</v>
      </c>
      <c r="B22" s="371">
        <v>0</v>
      </c>
      <c r="C22" s="371">
        <v>0</v>
      </c>
      <c r="D22" s="371">
        <v>278.7</v>
      </c>
      <c r="E22" s="371">
        <v>268.60000000000002</v>
      </c>
      <c r="F22" s="371">
        <v>10.1</v>
      </c>
      <c r="G22" s="371">
        <v>0</v>
      </c>
    </row>
    <row r="23" spans="1:13">
      <c r="A23" s="370" t="s">
        <v>821</v>
      </c>
      <c r="B23" s="371">
        <v>0</v>
      </c>
      <c r="C23" s="371">
        <v>0</v>
      </c>
      <c r="D23" s="371">
        <v>76243.105110000004</v>
      </c>
      <c r="E23" s="371">
        <v>23243.015350000001</v>
      </c>
      <c r="F23" s="372">
        <v>53000.089759999995</v>
      </c>
      <c r="G23" s="371">
        <v>0</v>
      </c>
      <c r="H23" s="211" t="s">
        <v>2154</v>
      </c>
      <c r="I23" s="211" t="s">
        <v>2170</v>
      </c>
    </row>
    <row r="24" spans="1:13">
      <c r="A24" s="370" t="s">
        <v>831</v>
      </c>
      <c r="B24" s="371">
        <v>0</v>
      </c>
      <c r="C24" s="371">
        <v>0</v>
      </c>
      <c r="D24" s="371">
        <v>247.7</v>
      </c>
      <c r="E24" s="371">
        <v>226.9</v>
      </c>
      <c r="F24" s="371">
        <v>20.8</v>
      </c>
      <c r="G24" s="371">
        <v>0</v>
      </c>
    </row>
    <row r="25" spans="1:13">
      <c r="A25" s="370" t="s">
        <v>834</v>
      </c>
      <c r="B25" s="371">
        <v>1050</v>
      </c>
      <c r="C25" s="371">
        <v>0</v>
      </c>
      <c r="D25" s="371">
        <v>0</v>
      </c>
      <c r="E25" s="371">
        <v>0</v>
      </c>
      <c r="F25" s="372">
        <v>1050</v>
      </c>
      <c r="G25" s="371">
        <v>0</v>
      </c>
      <c r="H25" s="211" t="s">
        <v>2158</v>
      </c>
      <c r="I25" s="211" t="s">
        <v>2170</v>
      </c>
    </row>
    <row r="26" spans="1:13">
      <c r="A26" s="370" t="s">
        <v>846</v>
      </c>
      <c r="B26" s="371">
        <v>0</v>
      </c>
      <c r="C26" s="371">
        <v>0</v>
      </c>
      <c r="D26" s="371">
        <v>5.5</v>
      </c>
      <c r="E26" s="371">
        <v>2.75</v>
      </c>
      <c r="F26" s="371">
        <v>2.75</v>
      </c>
      <c r="G26" s="371">
        <v>0</v>
      </c>
    </row>
    <row r="27" spans="1:13">
      <c r="A27" s="370" t="s">
        <v>849</v>
      </c>
      <c r="B27" s="371">
        <v>0</v>
      </c>
      <c r="C27" s="371">
        <v>0</v>
      </c>
      <c r="D27" s="371">
        <v>944.9</v>
      </c>
      <c r="E27" s="371">
        <v>944.79200000000003</v>
      </c>
      <c r="F27" s="371">
        <v>0.108</v>
      </c>
      <c r="G27" s="371">
        <v>0</v>
      </c>
    </row>
    <row r="28" spans="1:13">
      <c r="A28" s="370" t="s">
        <v>854</v>
      </c>
      <c r="B28" s="371">
        <v>0</v>
      </c>
      <c r="C28" s="371">
        <v>0</v>
      </c>
      <c r="D28" s="371">
        <v>12176.42959</v>
      </c>
      <c r="E28" s="371">
        <v>10176.42959</v>
      </c>
      <c r="F28" s="372">
        <v>2000</v>
      </c>
      <c r="G28" s="371">
        <v>0</v>
      </c>
      <c r="H28" s="211" t="s">
        <v>2159</v>
      </c>
      <c r="I28" s="211" t="s">
        <v>2170</v>
      </c>
    </row>
    <row r="29" spans="1:13">
      <c r="A29" s="370" t="s">
        <v>705</v>
      </c>
      <c r="B29" s="371">
        <v>0</v>
      </c>
      <c r="C29" s="371">
        <v>0</v>
      </c>
      <c r="D29" s="371">
        <v>19.5</v>
      </c>
      <c r="E29" s="371">
        <v>0</v>
      </c>
      <c r="F29" s="371">
        <v>19.5</v>
      </c>
      <c r="G29" s="371">
        <v>0</v>
      </c>
    </row>
    <row r="30" spans="1:13">
      <c r="A30" s="370" t="s">
        <v>858</v>
      </c>
      <c r="B30" s="371">
        <v>0</v>
      </c>
      <c r="C30" s="371">
        <v>0</v>
      </c>
      <c r="D30" s="371">
        <v>1246.5</v>
      </c>
      <c r="E30" s="371">
        <v>0</v>
      </c>
      <c r="F30" s="372">
        <v>1246.5</v>
      </c>
      <c r="G30" s="371">
        <v>0</v>
      </c>
      <c r="H30" s="211" t="s">
        <v>2160</v>
      </c>
      <c r="I30" s="211" t="s">
        <v>2170</v>
      </c>
    </row>
    <row r="31" spans="1:13">
      <c r="A31" s="370" t="s">
        <v>859</v>
      </c>
      <c r="B31" s="371">
        <v>0</v>
      </c>
      <c r="C31" s="371">
        <v>0</v>
      </c>
      <c r="D31" s="371">
        <v>4573</v>
      </c>
      <c r="E31" s="371">
        <v>4161.84</v>
      </c>
      <c r="F31" s="371">
        <v>411.16</v>
      </c>
      <c r="G31" s="371">
        <v>0</v>
      </c>
    </row>
    <row r="32" spans="1:13">
      <c r="A32" s="370" t="s">
        <v>864</v>
      </c>
      <c r="B32" s="371">
        <v>85.28</v>
      </c>
      <c r="C32" s="371">
        <v>0</v>
      </c>
      <c r="D32" s="371">
        <v>2060.0920000000001</v>
      </c>
      <c r="E32" s="371">
        <v>2061.5360000000001</v>
      </c>
      <c r="F32" s="371">
        <v>83.835999999999999</v>
      </c>
      <c r="G32" s="371">
        <v>0</v>
      </c>
    </row>
    <row r="33" spans="1:9">
      <c r="A33" s="370" t="s">
        <v>871</v>
      </c>
      <c r="B33" s="371">
        <v>0</v>
      </c>
      <c r="C33" s="371">
        <v>0</v>
      </c>
      <c r="D33" s="371">
        <v>18.79</v>
      </c>
      <c r="E33" s="371">
        <v>0</v>
      </c>
      <c r="F33" s="371">
        <v>18.79</v>
      </c>
      <c r="G33" s="371">
        <v>0</v>
      </c>
    </row>
    <row r="34" spans="1:9">
      <c r="A34" s="370" t="s">
        <v>873</v>
      </c>
      <c r="B34" s="371">
        <v>0</v>
      </c>
      <c r="C34" s="371">
        <v>0</v>
      </c>
      <c r="D34" s="371">
        <v>5718.8062199999995</v>
      </c>
      <c r="E34" s="371">
        <v>5507.6261100000002</v>
      </c>
      <c r="F34" s="371">
        <v>211.18010999999998</v>
      </c>
      <c r="G34" s="371">
        <v>0</v>
      </c>
    </row>
    <row r="35" spans="1:9">
      <c r="A35" s="370" t="s">
        <v>874</v>
      </c>
      <c r="B35" s="371">
        <v>0</v>
      </c>
      <c r="C35" s="371">
        <v>0</v>
      </c>
      <c r="D35" s="371">
        <v>200</v>
      </c>
      <c r="E35" s="371">
        <v>0</v>
      </c>
      <c r="F35" s="371">
        <v>200</v>
      </c>
      <c r="G35" s="371">
        <v>0</v>
      </c>
    </row>
    <row r="36" spans="1:9">
      <c r="A36" s="370" t="s">
        <v>877</v>
      </c>
      <c r="B36" s="371">
        <v>0</v>
      </c>
      <c r="C36" s="371">
        <v>0</v>
      </c>
      <c r="D36" s="371">
        <v>1258.8</v>
      </c>
      <c r="E36" s="371">
        <v>0</v>
      </c>
      <c r="F36" s="372">
        <v>1258.8</v>
      </c>
      <c r="G36" s="371">
        <v>0</v>
      </c>
      <c r="H36" s="211" t="s">
        <v>2161</v>
      </c>
      <c r="I36" s="211" t="s">
        <v>2170</v>
      </c>
    </row>
    <row r="37" spans="1:9">
      <c r="A37" s="370" t="s">
        <v>893</v>
      </c>
      <c r="B37" s="371">
        <v>200.14704999999998</v>
      </c>
      <c r="C37" s="371">
        <v>0</v>
      </c>
      <c r="D37" s="371">
        <v>50326.688729999994</v>
      </c>
      <c r="E37" s="371">
        <v>50472.723079999996</v>
      </c>
      <c r="F37" s="371">
        <v>54.112699999999997</v>
      </c>
      <c r="G37" s="371">
        <v>0</v>
      </c>
    </row>
    <row r="38" spans="1:9">
      <c r="A38" s="370" t="s">
        <v>894</v>
      </c>
      <c r="B38" s="371">
        <v>0</v>
      </c>
      <c r="C38" s="371">
        <v>0</v>
      </c>
      <c r="D38" s="371">
        <v>530</v>
      </c>
      <c r="E38" s="371">
        <v>0</v>
      </c>
      <c r="F38" s="371">
        <v>530</v>
      </c>
      <c r="G38" s="371">
        <v>0</v>
      </c>
    </row>
    <row r="39" spans="1:9">
      <c r="A39" s="370" t="s">
        <v>907</v>
      </c>
      <c r="B39" s="371">
        <v>0</v>
      </c>
      <c r="C39" s="371">
        <v>0</v>
      </c>
      <c r="D39" s="371">
        <v>2382.41</v>
      </c>
      <c r="E39" s="371">
        <v>2004.2239999999999</v>
      </c>
      <c r="F39" s="371">
        <v>378.18599999999998</v>
      </c>
      <c r="G39" s="371">
        <v>0</v>
      </c>
    </row>
    <row r="40" spans="1:9">
      <c r="A40" s="370" t="s">
        <v>913</v>
      </c>
      <c r="B40" s="371">
        <v>0</v>
      </c>
      <c r="C40" s="371">
        <v>0</v>
      </c>
      <c r="D40" s="371">
        <v>78.099999999999994</v>
      </c>
      <c r="E40" s="371">
        <v>44.036999999999999</v>
      </c>
      <c r="F40" s="371">
        <v>34.063000000000002</v>
      </c>
      <c r="G40" s="371">
        <v>0</v>
      </c>
    </row>
    <row r="41" spans="1:9">
      <c r="A41" s="370" t="s">
        <v>919</v>
      </c>
      <c r="B41" s="371">
        <v>0</v>
      </c>
      <c r="C41" s="371">
        <v>0</v>
      </c>
      <c r="D41" s="371">
        <v>4564.5600000000004</v>
      </c>
      <c r="E41" s="371">
        <v>0</v>
      </c>
      <c r="F41" s="372">
        <v>4564.5600000000004</v>
      </c>
      <c r="G41" s="371">
        <v>0</v>
      </c>
      <c r="H41" s="211" t="s">
        <v>2162</v>
      </c>
      <c r="I41" s="211" t="s">
        <v>2170</v>
      </c>
    </row>
    <row r="42" spans="1:9">
      <c r="A42" s="370" t="s">
        <v>922</v>
      </c>
      <c r="B42" s="371">
        <v>0</v>
      </c>
      <c r="C42" s="371">
        <v>0</v>
      </c>
      <c r="D42" s="371">
        <v>454.5</v>
      </c>
      <c r="E42" s="371">
        <v>440</v>
      </c>
      <c r="F42" s="371">
        <v>14.5</v>
      </c>
      <c r="G42" s="371">
        <v>0</v>
      </c>
    </row>
    <row r="43" spans="1:9">
      <c r="A43" s="370" t="s">
        <v>927</v>
      </c>
      <c r="B43" s="371">
        <v>11.5</v>
      </c>
      <c r="C43" s="371">
        <v>0</v>
      </c>
      <c r="D43" s="371">
        <v>29.2</v>
      </c>
      <c r="E43" s="371">
        <v>38.799999999999997</v>
      </c>
      <c r="F43" s="371">
        <v>1.9</v>
      </c>
      <c r="G43" s="371">
        <v>0</v>
      </c>
    </row>
    <row r="44" spans="1:9">
      <c r="A44" s="370" t="s">
        <v>930</v>
      </c>
      <c r="B44" s="371">
        <v>24</v>
      </c>
      <c r="C44" s="371">
        <v>0</v>
      </c>
      <c r="D44" s="371">
        <v>173.22300000000001</v>
      </c>
      <c r="E44" s="371">
        <v>182.45500000000001</v>
      </c>
      <c r="F44" s="371">
        <v>14.768000000000001</v>
      </c>
      <c r="G44" s="371">
        <v>0</v>
      </c>
    </row>
    <row r="45" spans="1:9">
      <c r="A45" s="370" t="s">
        <v>931</v>
      </c>
      <c r="B45" s="371">
        <v>6.2E-2</v>
      </c>
      <c r="C45" s="371">
        <v>0</v>
      </c>
      <c r="D45" s="371">
        <v>444.33659999999998</v>
      </c>
      <c r="E45" s="371">
        <v>331.40840000000003</v>
      </c>
      <c r="F45" s="371">
        <v>112.9902</v>
      </c>
      <c r="G45" s="371">
        <v>0</v>
      </c>
    </row>
    <row r="46" spans="1:9">
      <c r="A46" s="370" t="s">
        <v>943</v>
      </c>
      <c r="B46" s="371">
        <v>0</v>
      </c>
      <c r="C46" s="371">
        <v>0</v>
      </c>
      <c r="D46" s="371">
        <v>2000</v>
      </c>
      <c r="E46" s="371">
        <v>1980</v>
      </c>
      <c r="F46" s="371">
        <v>20</v>
      </c>
      <c r="G46" s="371">
        <v>0</v>
      </c>
    </row>
    <row r="47" spans="1:9">
      <c r="A47" s="370" t="s">
        <v>948</v>
      </c>
      <c r="B47" s="371">
        <v>0</v>
      </c>
      <c r="C47" s="371">
        <v>0</v>
      </c>
      <c r="D47" s="371">
        <v>662711.83784000005</v>
      </c>
      <c r="E47" s="371">
        <v>630149.25120000006</v>
      </c>
      <c r="F47" s="372">
        <v>32562.586640000001</v>
      </c>
      <c r="G47" s="371">
        <v>0</v>
      </c>
      <c r="H47" s="211" t="s">
        <v>2163</v>
      </c>
      <c r="I47" s="211" t="s">
        <v>2170</v>
      </c>
    </row>
    <row r="48" spans="1:9">
      <c r="A48" s="370" t="s">
        <v>955</v>
      </c>
      <c r="B48" s="371">
        <v>23935.110399999998</v>
      </c>
      <c r="C48" s="371">
        <v>0</v>
      </c>
      <c r="D48" s="371">
        <v>1376.8</v>
      </c>
      <c r="E48" s="371">
        <v>24615.110399999998</v>
      </c>
      <c r="F48" s="371">
        <v>696.8</v>
      </c>
      <c r="G48" s="371">
        <v>0</v>
      </c>
    </row>
    <row r="49" spans="1:9">
      <c r="A49" s="370" t="s">
        <v>959</v>
      </c>
      <c r="B49" s="371">
        <v>278.36854999999997</v>
      </c>
      <c r="C49" s="371">
        <v>0</v>
      </c>
      <c r="D49" s="371">
        <v>475.05584000000005</v>
      </c>
      <c r="E49" s="371">
        <v>550.21119999999996</v>
      </c>
      <c r="F49" s="371">
        <v>203.21319</v>
      </c>
      <c r="G49" s="371">
        <v>0</v>
      </c>
    </row>
    <row r="50" spans="1:9">
      <c r="A50" s="370" t="s">
        <v>963</v>
      </c>
      <c r="B50" s="371">
        <v>134.75</v>
      </c>
      <c r="C50" s="371">
        <v>0</v>
      </c>
      <c r="D50" s="371">
        <v>1292.8900000000001</v>
      </c>
      <c r="E50" s="371">
        <v>1280.9100000000001</v>
      </c>
      <c r="F50" s="371">
        <v>146.72999999999999</v>
      </c>
      <c r="G50" s="371">
        <v>0</v>
      </c>
    </row>
    <row r="51" spans="1:9">
      <c r="A51" s="370" t="s">
        <v>969</v>
      </c>
      <c r="B51" s="371">
        <v>0</v>
      </c>
      <c r="C51" s="371">
        <v>0</v>
      </c>
      <c r="D51" s="371">
        <v>805.59500000000003</v>
      </c>
      <c r="E51" s="371">
        <v>580.48500000000001</v>
      </c>
      <c r="F51" s="371">
        <v>225.11</v>
      </c>
      <c r="G51" s="371">
        <v>0</v>
      </c>
    </row>
    <row r="52" spans="1:9">
      <c r="A52" s="370" t="s">
        <v>971</v>
      </c>
      <c r="B52" s="371">
        <v>0</v>
      </c>
      <c r="C52" s="371">
        <v>0</v>
      </c>
      <c r="D52" s="371">
        <v>856.26</v>
      </c>
      <c r="E52" s="371">
        <v>850.46</v>
      </c>
      <c r="F52" s="371">
        <v>5.8</v>
      </c>
      <c r="G52" s="371">
        <v>0</v>
      </c>
    </row>
    <row r="53" spans="1:9">
      <c r="A53" s="370" t="s">
        <v>972</v>
      </c>
      <c r="B53" s="371">
        <v>0</v>
      </c>
      <c r="C53" s="371">
        <v>0</v>
      </c>
      <c r="D53" s="371">
        <v>2069.2260000000001</v>
      </c>
      <c r="E53" s="371">
        <v>1937.2260000000001</v>
      </c>
      <c r="F53" s="371">
        <v>132</v>
      </c>
      <c r="G53" s="371">
        <v>0</v>
      </c>
    </row>
    <row r="54" spans="1:9">
      <c r="A54" s="370" t="s">
        <v>990</v>
      </c>
      <c r="B54" s="371">
        <v>0</v>
      </c>
      <c r="C54" s="371">
        <v>0</v>
      </c>
      <c r="D54" s="371">
        <v>590.69880000000001</v>
      </c>
      <c r="E54" s="371">
        <v>0</v>
      </c>
      <c r="F54" s="371">
        <v>590.69880000000001</v>
      </c>
      <c r="G54" s="371">
        <v>0</v>
      </c>
    </row>
    <row r="55" spans="1:9">
      <c r="A55" s="370" t="s">
        <v>994</v>
      </c>
      <c r="B55" s="371">
        <v>0</v>
      </c>
      <c r="C55" s="371">
        <v>0</v>
      </c>
      <c r="D55" s="371">
        <v>330.096</v>
      </c>
      <c r="E55" s="371">
        <v>309.46499999999997</v>
      </c>
      <c r="F55" s="371">
        <v>20.631</v>
      </c>
      <c r="G55" s="371">
        <v>0</v>
      </c>
    </row>
    <row r="56" spans="1:9">
      <c r="A56" s="370" t="s">
        <v>1012</v>
      </c>
      <c r="B56" s="371">
        <v>0</v>
      </c>
      <c r="C56" s="371">
        <v>0</v>
      </c>
      <c r="D56" s="371">
        <v>1512</v>
      </c>
      <c r="E56" s="371">
        <v>0</v>
      </c>
      <c r="F56" s="372">
        <v>1512</v>
      </c>
      <c r="G56" s="371">
        <v>0</v>
      </c>
      <c r="H56" s="211" t="s">
        <v>2164</v>
      </c>
      <c r="I56" s="211" t="s">
        <v>2170</v>
      </c>
    </row>
    <row r="57" spans="1:9">
      <c r="A57" s="370" t="s">
        <v>1014</v>
      </c>
      <c r="B57" s="371">
        <v>0</v>
      </c>
      <c r="C57" s="371">
        <v>0</v>
      </c>
      <c r="D57" s="371">
        <v>656.61099999999999</v>
      </c>
      <c r="E57" s="371">
        <v>0</v>
      </c>
      <c r="F57" s="371">
        <v>656.61099999999999</v>
      </c>
      <c r="G57" s="371">
        <v>0</v>
      </c>
    </row>
    <row r="58" spans="1:9">
      <c r="A58" s="370" t="s">
        <v>1023</v>
      </c>
      <c r="B58" s="371">
        <v>0</v>
      </c>
      <c r="C58" s="371">
        <v>0</v>
      </c>
      <c r="D58" s="371">
        <v>10822.647859999999</v>
      </c>
      <c r="E58" s="371">
        <v>2924.6842099999999</v>
      </c>
      <c r="F58" s="372">
        <v>7897.9636500000006</v>
      </c>
      <c r="G58" s="371">
        <v>0</v>
      </c>
      <c r="H58" s="211" t="s">
        <v>2161</v>
      </c>
      <c r="I58" s="211" t="s">
        <v>2170</v>
      </c>
    </row>
    <row r="59" spans="1:9">
      <c r="A59" s="370" t="s">
        <v>1028</v>
      </c>
      <c r="B59" s="371">
        <v>0</v>
      </c>
      <c r="C59" s="371">
        <v>0</v>
      </c>
      <c r="D59" s="371">
        <v>862.5</v>
      </c>
      <c r="E59" s="371">
        <v>0</v>
      </c>
      <c r="F59" s="371">
        <v>862.5</v>
      </c>
      <c r="G59" s="371">
        <v>0</v>
      </c>
    </row>
    <row r="60" spans="1:9">
      <c r="A60" s="370" t="s">
        <v>1036</v>
      </c>
      <c r="B60" s="371">
        <v>0</v>
      </c>
      <c r="C60" s="371">
        <v>0</v>
      </c>
      <c r="D60" s="371">
        <v>25566.80229</v>
      </c>
      <c r="E60" s="371">
        <v>25565.607090000001</v>
      </c>
      <c r="F60" s="371">
        <v>1.1952</v>
      </c>
      <c r="G60" s="371">
        <v>0</v>
      </c>
    </row>
    <row r="61" spans="1:9">
      <c r="A61" s="370" t="s">
        <v>1039</v>
      </c>
      <c r="B61" s="371">
        <v>0</v>
      </c>
      <c r="C61" s="371">
        <v>0</v>
      </c>
      <c r="D61" s="371">
        <v>36543.037499999999</v>
      </c>
      <c r="E61" s="371">
        <v>0</v>
      </c>
      <c r="F61" s="372">
        <v>36543.037499999999</v>
      </c>
      <c r="G61" s="371">
        <v>0</v>
      </c>
      <c r="H61" s="211" t="s">
        <v>2161</v>
      </c>
      <c r="I61" s="211" t="s">
        <v>2170</v>
      </c>
    </row>
    <row r="62" spans="1:9">
      <c r="A62" s="370" t="s">
        <v>1041</v>
      </c>
      <c r="B62" s="371">
        <v>8.94937</v>
      </c>
      <c r="C62" s="371">
        <v>0</v>
      </c>
      <c r="D62" s="371">
        <v>9610.5576400000009</v>
      </c>
      <c r="E62" s="371">
        <v>9165.8367600000001</v>
      </c>
      <c r="F62" s="371">
        <v>453.67025000000001</v>
      </c>
      <c r="G62" s="371">
        <v>0</v>
      </c>
    </row>
    <row r="63" spans="1:9">
      <c r="A63" s="370" t="s">
        <v>1045</v>
      </c>
      <c r="B63" s="371">
        <v>0</v>
      </c>
      <c r="C63" s="371">
        <v>0</v>
      </c>
      <c r="D63" s="371">
        <v>116.32051</v>
      </c>
      <c r="E63" s="371">
        <v>38.63552</v>
      </c>
      <c r="F63" s="371">
        <v>77.684989999999999</v>
      </c>
      <c r="G63" s="371">
        <v>0</v>
      </c>
    </row>
    <row r="64" spans="1:9">
      <c r="A64" s="370" t="s">
        <v>1053</v>
      </c>
      <c r="B64" s="371">
        <v>0</v>
      </c>
      <c r="C64" s="371">
        <v>0</v>
      </c>
      <c r="D64" s="371">
        <v>32231.808000000001</v>
      </c>
      <c r="E64" s="371">
        <v>0</v>
      </c>
      <c r="F64" s="372">
        <v>32231.808000000001</v>
      </c>
      <c r="G64" s="371">
        <v>0</v>
      </c>
      <c r="H64" s="211" t="s">
        <v>2161</v>
      </c>
      <c r="I64" s="211" t="s">
        <v>2170</v>
      </c>
    </row>
    <row r="65" spans="1:9">
      <c r="A65" s="370" t="s">
        <v>1058</v>
      </c>
      <c r="B65" s="371">
        <v>0</v>
      </c>
      <c r="C65" s="371">
        <v>0</v>
      </c>
      <c r="D65" s="371">
        <v>12742.175999999999</v>
      </c>
      <c r="E65" s="371">
        <v>12117.636</v>
      </c>
      <c r="F65" s="371">
        <v>624.54</v>
      </c>
      <c r="G65" s="371">
        <v>0</v>
      </c>
    </row>
    <row r="66" spans="1:9">
      <c r="A66" s="370" t="s">
        <v>1062</v>
      </c>
      <c r="B66" s="371">
        <v>0</v>
      </c>
      <c r="C66" s="371">
        <v>0</v>
      </c>
      <c r="D66" s="371">
        <v>804951.9</v>
      </c>
      <c r="E66" s="371">
        <v>628059.34014999995</v>
      </c>
      <c r="F66" s="372">
        <v>176892.55984999999</v>
      </c>
      <c r="G66" s="371">
        <v>0</v>
      </c>
      <c r="H66" s="211" t="s">
        <v>2165</v>
      </c>
      <c r="I66" s="211" t="s">
        <v>2170</v>
      </c>
    </row>
    <row r="67" spans="1:9">
      <c r="A67" s="370" t="s">
        <v>1071</v>
      </c>
      <c r="B67" s="371">
        <v>0</v>
      </c>
      <c r="C67" s="371">
        <v>0</v>
      </c>
      <c r="D67" s="371">
        <v>2625.19</v>
      </c>
      <c r="E67" s="371">
        <v>2449.44</v>
      </c>
      <c r="F67" s="371">
        <v>175.75</v>
      </c>
      <c r="G67" s="371">
        <v>0</v>
      </c>
    </row>
    <row r="68" spans="1:9">
      <c r="A68" s="370" t="s">
        <v>1080</v>
      </c>
      <c r="B68" s="371">
        <v>0</v>
      </c>
      <c r="C68" s="371">
        <v>0</v>
      </c>
      <c r="D68" s="371">
        <v>50792.4</v>
      </c>
      <c r="E68" s="371">
        <v>13230</v>
      </c>
      <c r="F68" s="372">
        <v>37562.400000000001</v>
      </c>
      <c r="G68" s="371">
        <v>0</v>
      </c>
      <c r="H68" s="211" t="s">
        <v>2161</v>
      </c>
      <c r="I68" s="211" t="s">
        <v>2170</v>
      </c>
    </row>
    <row r="69" spans="1:9">
      <c r="A69" s="370" t="s">
        <v>1096</v>
      </c>
      <c r="B69" s="371">
        <v>1.3</v>
      </c>
      <c r="C69" s="371">
        <v>0</v>
      </c>
      <c r="D69" s="371">
        <v>1536.33</v>
      </c>
      <c r="E69" s="371">
        <v>1521.63</v>
      </c>
      <c r="F69" s="371">
        <v>16</v>
      </c>
      <c r="G69" s="371">
        <v>0</v>
      </c>
    </row>
    <row r="70" spans="1:9">
      <c r="A70" s="370" t="s">
        <v>1097</v>
      </c>
      <c r="B70" s="371">
        <v>0</v>
      </c>
      <c r="C70" s="371">
        <v>0</v>
      </c>
      <c r="D70" s="371">
        <v>1500</v>
      </c>
      <c r="E70" s="371">
        <v>0</v>
      </c>
      <c r="F70" s="372">
        <v>1500</v>
      </c>
      <c r="G70" s="371">
        <v>0</v>
      </c>
      <c r="H70" s="211" t="s">
        <v>2164</v>
      </c>
      <c r="I70" s="211" t="s">
        <v>2170</v>
      </c>
    </row>
    <row r="71" spans="1:9">
      <c r="A71" s="370" t="s">
        <v>1103</v>
      </c>
      <c r="B71" s="371">
        <v>0</v>
      </c>
      <c r="C71" s="371">
        <v>0</v>
      </c>
      <c r="D71" s="371">
        <v>9.4024699999999992</v>
      </c>
      <c r="E71" s="371">
        <v>7.4047399999999994</v>
      </c>
      <c r="F71" s="371">
        <v>1.99773</v>
      </c>
      <c r="G71" s="371">
        <v>0</v>
      </c>
    </row>
    <row r="72" spans="1:9">
      <c r="A72" s="370" t="s">
        <v>1104</v>
      </c>
      <c r="B72" s="371">
        <v>0</v>
      </c>
      <c r="C72" s="371">
        <v>0</v>
      </c>
      <c r="D72" s="371">
        <v>6165.1583000000001</v>
      </c>
      <c r="E72" s="371">
        <v>2361.0749000000001</v>
      </c>
      <c r="F72" s="372">
        <v>3804.0834</v>
      </c>
      <c r="G72" s="371">
        <v>0</v>
      </c>
      <c r="H72" s="211" t="s">
        <v>2164</v>
      </c>
      <c r="I72" s="211" t="s">
        <v>2170</v>
      </c>
    </row>
    <row r="73" spans="1:9">
      <c r="A73" s="370" t="s">
        <v>1106</v>
      </c>
      <c r="B73" s="371">
        <v>0</v>
      </c>
      <c r="C73" s="371">
        <v>0</v>
      </c>
      <c r="D73" s="371">
        <v>625688.91399999999</v>
      </c>
      <c r="E73" s="371">
        <v>459784.734</v>
      </c>
      <c r="F73" s="372">
        <v>165904.18</v>
      </c>
      <c r="G73" s="371">
        <v>0</v>
      </c>
      <c r="H73" s="211" t="s">
        <v>2161</v>
      </c>
      <c r="I73" s="211" t="s">
        <v>2170</v>
      </c>
    </row>
    <row r="74" spans="1:9">
      <c r="A74" s="370" t="s">
        <v>1107</v>
      </c>
      <c r="B74" s="371">
        <v>0</v>
      </c>
      <c r="C74" s="371">
        <v>0</v>
      </c>
      <c r="D74" s="371">
        <v>60095.231</v>
      </c>
      <c r="E74" s="371">
        <v>41973.813999999998</v>
      </c>
      <c r="F74" s="372">
        <v>18121.417000000001</v>
      </c>
      <c r="G74" s="371">
        <v>0</v>
      </c>
      <c r="H74" s="211" t="s">
        <v>2161</v>
      </c>
      <c r="I74" s="211" t="s">
        <v>2170</v>
      </c>
    </row>
    <row r="75" spans="1:9">
      <c r="A75" s="370" t="s">
        <v>1110</v>
      </c>
      <c r="B75" s="371">
        <v>78</v>
      </c>
      <c r="C75" s="371">
        <v>0</v>
      </c>
      <c r="D75" s="371">
        <v>0</v>
      </c>
      <c r="E75" s="371">
        <v>0</v>
      </c>
      <c r="F75" s="371">
        <v>78</v>
      </c>
      <c r="G75" s="371">
        <v>0</v>
      </c>
    </row>
    <row r="76" spans="1:9">
      <c r="A76" s="370" t="s">
        <v>1113</v>
      </c>
      <c r="B76" s="371">
        <v>0</v>
      </c>
      <c r="C76" s="371">
        <v>0</v>
      </c>
      <c r="D76" s="371">
        <v>520</v>
      </c>
      <c r="E76" s="371">
        <v>364</v>
      </c>
      <c r="F76" s="371">
        <v>156</v>
      </c>
      <c r="G76" s="371">
        <v>0</v>
      </c>
    </row>
    <row r="77" spans="1:9">
      <c r="A77" s="370" t="s">
        <v>1114</v>
      </c>
      <c r="B77" s="371">
        <v>0</v>
      </c>
      <c r="C77" s="371">
        <v>0</v>
      </c>
      <c r="D77" s="371">
        <v>3425.47496</v>
      </c>
      <c r="E77" s="371">
        <v>2147.1629600000001</v>
      </c>
      <c r="F77" s="372">
        <v>1278.3119999999999</v>
      </c>
      <c r="G77" s="371">
        <v>0</v>
      </c>
      <c r="H77" s="211" t="s">
        <v>2166</v>
      </c>
      <c r="I77" s="211" t="s">
        <v>2170</v>
      </c>
    </row>
    <row r="78" spans="1:9">
      <c r="A78" s="370" t="s">
        <v>1117</v>
      </c>
      <c r="B78" s="371">
        <v>0</v>
      </c>
      <c r="C78" s="371">
        <v>0</v>
      </c>
      <c r="D78" s="371">
        <v>5306.5</v>
      </c>
      <c r="E78" s="371">
        <v>4104.2700000000004</v>
      </c>
      <c r="F78" s="372">
        <v>1202.23</v>
      </c>
      <c r="G78" s="371">
        <v>0</v>
      </c>
      <c r="H78" s="211" t="s">
        <v>2167</v>
      </c>
      <c r="I78" s="211" t="s">
        <v>2170</v>
      </c>
    </row>
    <row r="81" spans="1:7">
      <c r="A81" s="198" t="s">
        <v>342</v>
      </c>
      <c r="B81" s="947" t="s">
        <v>51</v>
      </c>
      <c r="C81" s="947"/>
      <c r="D81" s="947" t="s">
        <v>52</v>
      </c>
      <c r="E81" s="947"/>
      <c r="F81" s="947" t="s">
        <v>53</v>
      </c>
      <c r="G81" s="947"/>
    </row>
    <row r="82" spans="1:7">
      <c r="A82" s="948" t="s">
        <v>700</v>
      </c>
      <c r="B82" s="948" t="s">
        <v>54</v>
      </c>
      <c r="C82" s="948" t="s">
        <v>55</v>
      </c>
      <c r="D82" s="948" t="s">
        <v>54</v>
      </c>
      <c r="E82" s="948" t="s">
        <v>55</v>
      </c>
      <c r="F82" s="948" t="s">
        <v>54</v>
      </c>
      <c r="G82" s="948" t="s">
        <v>55</v>
      </c>
    </row>
    <row r="83" spans="1:7">
      <c r="A83" s="949"/>
      <c r="B83" s="949"/>
      <c r="C83" s="949"/>
      <c r="D83" s="949"/>
      <c r="E83" s="949"/>
      <c r="F83" s="949"/>
      <c r="G83" s="949"/>
    </row>
    <row r="84" spans="1:7">
      <c r="A84" s="201" t="s">
        <v>1897</v>
      </c>
      <c r="B84" s="204">
        <v>0</v>
      </c>
      <c r="C84" s="204">
        <v>0</v>
      </c>
      <c r="D84" s="204">
        <v>234077.54968999999</v>
      </c>
      <c r="E84" s="204">
        <v>224182.48031000001</v>
      </c>
      <c r="F84" s="204">
        <v>9895.0693800000008</v>
      </c>
      <c r="G84" s="204">
        <v>0</v>
      </c>
    </row>
    <row r="85" spans="1:7">
      <c r="A85" s="202" t="s">
        <v>1918</v>
      </c>
      <c r="B85" s="205">
        <v>0</v>
      </c>
      <c r="C85" s="205">
        <v>0</v>
      </c>
      <c r="D85" s="205">
        <v>6590</v>
      </c>
      <c r="E85" s="205">
        <v>240</v>
      </c>
      <c r="F85" s="208">
        <v>6350</v>
      </c>
      <c r="G85" s="205">
        <v>0</v>
      </c>
    </row>
    <row r="86" spans="1:7">
      <c r="A86" s="202" t="s">
        <v>1997</v>
      </c>
      <c r="B86" s="205">
        <v>0</v>
      </c>
      <c r="C86" s="205">
        <v>0</v>
      </c>
      <c r="D86" s="205">
        <v>46859.382140000002</v>
      </c>
      <c r="E86" s="205">
        <v>46320.902139999998</v>
      </c>
      <c r="F86" s="208">
        <v>538.48</v>
      </c>
      <c r="G86" s="205">
        <v>0</v>
      </c>
    </row>
    <row r="87" spans="1:7" ht="15">
      <c r="A87"/>
      <c r="B87"/>
      <c r="C87"/>
      <c r="D87"/>
      <c r="E87"/>
      <c r="F87"/>
      <c r="G87"/>
    </row>
    <row r="88" spans="1:7" ht="15">
      <c r="A88"/>
      <c r="B88"/>
      <c r="C88"/>
      <c r="D88"/>
      <c r="E88"/>
      <c r="F88"/>
      <c r="G88"/>
    </row>
    <row r="89" spans="1:7" ht="15">
      <c r="A89"/>
      <c r="B89"/>
      <c r="C89"/>
      <c r="D89"/>
      <c r="E89"/>
      <c r="F89"/>
      <c r="G89"/>
    </row>
    <row r="90" spans="1:7" ht="15">
      <c r="A90"/>
      <c r="B90"/>
      <c r="C90"/>
      <c r="D90"/>
      <c r="E90"/>
      <c r="F90"/>
      <c r="G90"/>
    </row>
    <row r="91" spans="1:7" ht="15">
      <c r="A91" s="374" t="s">
        <v>1918</v>
      </c>
      <c r="B91" t="s">
        <v>12</v>
      </c>
      <c r="C91"/>
      <c r="D91"/>
      <c r="E91"/>
      <c r="F91"/>
      <c r="G91"/>
    </row>
    <row r="92" spans="1:7" ht="15">
      <c r="A92" s="202" t="s">
        <v>2171</v>
      </c>
      <c r="B92">
        <v>3750</v>
      </c>
      <c r="C92"/>
      <c r="D92"/>
      <c r="E92"/>
      <c r="F92"/>
      <c r="G92"/>
    </row>
    <row r="93" spans="1:7" ht="15">
      <c r="A93" t="s">
        <v>2172</v>
      </c>
      <c r="B93">
        <v>1200</v>
      </c>
      <c r="C93" t="s">
        <v>2158</v>
      </c>
      <c r="D93"/>
      <c r="E93"/>
      <c r="F93"/>
      <c r="G93"/>
    </row>
    <row r="94" spans="1:7" ht="15">
      <c r="A94" t="s">
        <v>2173</v>
      </c>
      <c r="B94">
        <v>1400</v>
      </c>
      <c r="C94" t="s">
        <v>2174</v>
      </c>
      <c r="D94"/>
      <c r="E94"/>
      <c r="F94"/>
      <c r="G94"/>
    </row>
    <row r="95" spans="1:7" ht="15">
      <c r="A95" t="s">
        <v>2175</v>
      </c>
      <c r="B95" s="124">
        <v>6350</v>
      </c>
      <c r="C95" t="s">
        <v>461</v>
      </c>
      <c r="D95"/>
      <c r="E95"/>
      <c r="F95"/>
      <c r="G95"/>
    </row>
    <row r="99" spans="1:9">
      <c r="B99" s="291">
        <f>F136+F158+F201+F212+F226+F252+F255+F287+F330+F342+F462+F654+F705+F840</f>
        <v>36673.899010000001</v>
      </c>
    </row>
    <row r="100" spans="1:9" ht="15">
      <c r="A100" s="192" t="s">
        <v>342</v>
      </c>
      <c r="B100" s="950" t="s">
        <v>51</v>
      </c>
      <c r="C100" s="950"/>
      <c r="D100" s="950" t="s">
        <v>52</v>
      </c>
      <c r="E100" s="950"/>
      <c r="F100" s="950" t="s">
        <v>53</v>
      </c>
      <c r="G100" s="950"/>
      <c r="H100"/>
      <c r="I100"/>
    </row>
    <row r="101" spans="1:9" ht="15">
      <c r="A101" s="951" t="s">
        <v>700</v>
      </c>
      <c r="B101" s="953" t="s">
        <v>54</v>
      </c>
      <c r="C101" s="953" t="s">
        <v>55</v>
      </c>
      <c r="D101" s="953" t="s">
        <v>54</v>
      </c>
      <c r="E101" s="953" t="s">
        <v>55</v>
      </c>
      <c r="F101" s="953" t="s">
        <v>54</v>
      </c>
      <c r="G101" s="953" t="s">
        <v>55</v>
      </c>
      <c r="H101"/>
      <c r="I101"/>
    </row>
    <row r="102" spans="1:9" ht="15">
      <c r="A102" s="952"/>
      <c r="B102" s="954"/>
      <c r="C102" s="954"/>
      <c r="D102" s="954"/>
      <c r="E102" s="954"/>
      <c r="F102" s="954"/>
      <c r="G102" s="954"/>
      <c r="H102"/>
      <c r="I102"/>
    </row>
    <row r="103" spans="1:9" ht="15">
      <c r="A103" s="194">
        <v>1711</v>
      </c>
      <c r="B103" s="195">
        <v>486380.25868000003</v>
      </c>
      <c r="C103" s="195">
        <v>0</v>
      </c>
      <c r="D103" s="195">
        <v>14885812.241369998</v>
      </c>
      <c r="E103" s="195">
        <v>14884713.800100001</v>
      </c>
      <c r="F103" s="195">
        <v>487478.69994999998</v>
      </c>
      <c r="G103" s="195">
        <v>0</v>
      </c>
      <c r="H103"/>
      <c r="I103"/>
    </row>
    <row r="104" spans="1:9" ht="15">
      <c r="A104" s="186" t="s">
        <v>1125</v>
      </c>
      <c r="B104" s="196">
        <v>-27167.072489999999</v>
      </c>
      <c r="C104" s="188">
        <v>0</v>
      </c>
      <c r="D104" s="188">
        <v>0</v>
      </c>
      <c r="E104" s="196">
        <v>-27167.072489999999</v>
      </c>
      <c r="F104" s="188">
        <v>0</v>
      </c>
      <c r="G104" s="188">
        <v>0</v>
      </c>
      <c r="H104"/>
      <c r="I104"/>
    </row>
    <row r="105" spans="1:9" ht="15">
      <c r="A105" s="186" t="s">
        <v>1126</v>
      </c>
      <c r="B105" s="188">
        <v>0</v>
      </c>
      <c r="C105" s="188">
        <v>0</v>
      </c>
      <c r="D105" s="188">
        <v>237.6</v>
      </c>
      <c r="E105" s="188">
        <v>205.8</v>
      </c>
      <c r="F105" s="188">
        <v>31.8</v>
      </c>
      <c r="G105" s="188">
        <v>0</v>
      </c>
      <c r="H105" t="s">
        <v>2288</v>
      </c>
      <c r="I105" t="s">
        <v>2289</v>
      </c>
    </row>
    <row r="106" spans="1:9" ht="15">
      <c r="A106" s="186" t="s">
        <v>1127</v>
      </c>
      <c r="B106" s="188">
        <v>0</v>
      </c>
      <c r="C106" s="188">
        <v>0</v>
      </c>
      <c r="D106" s="188">
        <v>240</v>
      </c>
      <c r="E106" s="188">
        <v>240</v>
      </c>
      <c r="F106" s="188">
        <v>0</v>
      </c>
      <c r="G106" s="188">
        <v>0</v>
      </c>
      <c r="H106"/>
      <c r="I106"/>
    </row>
    <row r="107" spans="1:9" ht="15">
      <c r="A107" s="186" t="s">
        <v>1128</v>
      </c>
      <c r="B107" s="188">
        <v>0</v>
      </c>
      <c r="C107" s="188">
        <v>0</v>
      </c>
      <c r="D107" s="188">
        <v>7544.9950199999994</v>
      </c>
      <c r="E107" s="188">
        <v>7488.0350199999993</v>
      </c>
      <c r="F107" s="188">
        <v>56.96</v>
      </c>
      <c r="G107" s="188">
        <v>0</v>
      </c>
      <c r="H107" t="s">
        <v>2288</v>
      </c>
      <c r="I107"/>
    </row>
    <row r="108" spans="1:9" ht="15">
      <c r="A108" s="186" t="s">
        <v>1129</v>
      </c>
      <c r="B108" s="188">
        <v>0</v>
      </c>
      <c r="C108" s="188">
        <v>0</v>
      </c>
      <c r="D108" s="188">
        <v>1356041.54608</v>
      </c>
      <c r="E108" s="188">
        <v>1356041.54608</v>
      </c>
      <c r="F108" s="188">
        <v>0</v>
      </c>
      <c r="G108" s="188">
        <v>0</v>
      </c>
      <c r="H108" t="s">
        <v>2118</v>
      </c>
      <c r="I108"/>
    </row>
    <row r="109" spans="1:9" ht="15">
      <c r="A109" s="186" t="s">
        <v>1130</v>
      </c>
      <c r="B109" s="188">
        <v>0</v>
      </c>
      <c r="C109" s="188">
        <v>0</v>
      </c>
      <c r="D109" s="188">
        <v>33566.400000000001</v>
      </c>
      <c r="E109" s="188">
        <v>33566.400000000001</v>
      </c>
      <c r="F109" s="188">
        <v>0</v>
      </c>
      <c r="G109" s="188">
        <v>0</v>
      </c>
      <c r="H109"/>
      <c r="I109"/>
    </row>
    <row r="110" spans="1:9" ht="15">
      <c r="A110" s="186" t="s">
        <v>1131</v>
      </c>
      <c r="B110" s="188">
        <v>0</v>
      </c>
      <c r="C110" s="188">
        <v>0</v>
      </c>
      <c r="D110" s="188">
        <v>135676.13389</v>
      </c>
      <c r="E110" s="188">
        <v>135676.13389</v>
      </c>
      <c r="F110" s="188">
        <v>0</v>
      </c>
      <c r="G110" s="188">
        <v>0</v>
      </c>
      <c r="H110"/>
      <c r="I110"/>
    </row>
    <row r="111" spans="1:9" ht="15">
      <c r="A111" s="186" t="s">
        <v>1132</v>
      </c>
      <c r="B111" s="188">
        <v>0</v>
      </c>
      <c r="C111" s="188">
        <v>0</v>
      </c>
      <c r="D111" s="188">
        <v>77240.586680000008</v>
      </c>
      <c r="E111" s="188">
        <v>77240.586680000008</v>
      </c>
      <c r="F111" s="188">
        <v>0</v>
      </c>
      <c r="G111" s="188">
        <v>0</v>
      </c>
      <c r="H111"/>
      <c r="I111"/>
    </row>
    <row r="112" spans="1:9" ht="15">
      <c r="A112" s="186" t="s">
        <v>1133</v>
      </c>
      <c r="B112" s="188">
        <v>0</v>
      </c>
      <c r="C112" s="188">
        <v>0</v>
      </c>
      <c r="D112" s="188">
        <v>11430</v>
      </c>
      <c r="E112" s="188">
        <v>11430</v>
      </c>
      <c r="F112" s="188">
        <v>0</v>
      </c>
      <c r="G112" s="188">
        <v>0</v>
      </c>
      <c r="H112"/>
      <c r="I112"/>
    </row>
    <row r="113" spans="1:9" ht="15">
      <c r="A113" s="186" t="s">
        <v>1134</v>
      </c>
      <c r="B113" s="188">
        <v>0</v>
      </c>
      <c r="C113" s="188">
        <v>0</v>
      </c>
      <c r="D113" s="188">
        <v>4267.0886399999999</v>
      </c>
      <c r="E113" s="188">
        <v>4267.0886399999999</v>
      </c>
      <c r="F113" s="188">
        <v>0</v>
      </c>
      <c r="G113" s="188">
        <v>0</v>
      </c>
      <c r="H113"/>
      <c r="I113"/>
    </row>
    <row r="114" spans="1:9" ht="15">
      <c r="A114" s="186" t="s">
        <v>1135</v>
      </c>
      <c r="B114" s="188">
        <v>295</v>
      </c>
      <c r="C114" s="188">
        <v>0</v>
      </c>
      <c r="D114" s="188">
        <v>0</v>
      </c>
      <c r="E114" s="188">
        <v>0</v>
      </c>
      <c r="F114" s="188">
        <v>295</v>
      </c>
      <c r="G114" s="188">
        <v>0</v>
      </c>
      <c r="H114" t="s">
        <v>2288</v>
      </c>
      <c r="I114"/>
    </row>
    <row r="115" spans="1:9" ht="15">
      <c r="A115" s="186" t="s">
        <v>1136</v>
      </c>
      <c r="B115" s="188">
        <v>0</v>
      </c>
      <c r="C115" s="188">
        <v>0</v>
      </c>
      <c r="D115" s="188">
        <v>12557.23798</v>
      </c>
      <c r="E115" s="188">
        <v>12557.23798</v>
      </c>
      <c r="F115" s="188">
        <v>0</v>
      </c>
      <c r="G115" s="188">
        <v>0</v>
      </c>
      <c r="H115"/>
      <c r="I115"/>
    </row>
    <row r="116" spans="1:9" ht="15">
      <c r="A116" s="186" t="s">
        <v>1137</v>
      </c>
      <c r="B116" s="188">
        <v>0</v>
      </c>
      <c r="C116" s="188">
        <v>0</v>
      </c>
      <c r="D116" s="188">
        <v>142517.64521000002</v>
      </c>
      <c r="E116" s="188">
        <v>142517.64521000002</v>
      </c>
      <c r="F116" s="188">
        <v>0</v>
      </c>
      <c r="G116" s="188">
        <v>0</v>
      </c>
      <c r="H116"/>
      <c r="I116"/>
    </row>
    <row r="117" spans="1:9" ht="15">
      <c r="A117" s="186" t="s">
        <v>1138</v>
      </c>
      <c r="B117" s="188">
        <v>0.01</v>
      </c>
      <c r="C117" s="188">
        <v>0</v>
      </c>
      <c r="D117" s="188">
        <v>0</v>
      </c>
      <c r="E117" s="188">
        <v>0</v>
      </c>
      <c r="F117" s="188">
        <v>0.01</v>
      </c>
      <c r="G117" s="188">
        <v>0</v>
      </c>
      <c r="H117"/>
      <c r="I117"/>
    </row>
    <row r="118" spans="1:9" ht="15">
      <c r="A118" s="186" t="s">
        <v>1139</v>
      </c>
      <c r="B118" s="188">
        <v>485.59</v>
      </c>
      <c r="C118" s="188">
        <v>0</v>
      </c>
      <c r="D118" s="188">
        <v>26396.148000000001</v>
      </c>
      <c r="E118" s="188">
        <v>25642.567999999999</v>
      </c>
      <c r="F118" s="188">
        <v>1239.17</v>
      </c>
      <c r="G118" s="188">
        <v>0</v>
      </c>
      <c r="H118" t="s">
        <v>2288</v>
      </c>
      <c r="I118"/>
    </row>
    <row r="119" spans="1:9" ht="15">
      <c r="A119" s="186" t="s">
        <v>1140</v>
      </c>
      <c r="B119" s="188">
        <v>0</v>
      </c>
      <c r="C119" s="188">
        <v>0</v>
      </c>
      <c r="D119" s="188">
        <v>600.12900000000002</v>
      </c>
      <c r="E119" s="188">
        <v>524.149</v>
      </c>
      <c r="F119" s="188">
        <v>75.98</v>
      </c>
      <c r="G119" s="188">
        <v>0</v>
      </c>
      <c r="H119" t="s">
        <v>2288</v>
      </c>
      <c r="I119"/>
    </row>
    <row r="120" spans="1:9" ht="15">
      <c r="A120" s="186" t="s">
        <v>1141</v>
      </c>
      <c r="B120" s="188">
        <v>0</v>
      </c>
      <c r="C120" s="188">
        <v>0</v>
      </c>
      <c r="D120" s="188">
        <v>77891.893150000004</v>
      </c>
      <c r="E120" s="188">
        <v>77891.893150000004</v>
      </c>
      <c r="F120" s="188">
        <v>0</v>
      </c>
      <c r="G120" s="188">
        <v>0</v>
      </c>
      <c r="H120"/>
      <c r="I120"/>
    </row>
    <row r="121" spans="1:9" ht="15">
      <c r="A121" s="186" t="s">
        <v>1142</v>
      </c>
      <c r="B121" s="188">
        <v>0</v>
      </c>
      <c r="C121" s="188">
        <v>0</v>
      </c>
      <c r="D121" s="188">
        <v>3101.8395699999996</v>
      </c>
      <c r="E121" s="188">
        <v>3101.8395699999996</v>
      </c>
      <c r="F121" s="188">
        <v>0</v>
      </c>
      <c r="G121" s="188">
        <v>0</v>
      </c>
      <c r="H121"/>
      <c r="I121"/>
    </row>
    <row r="122" spans="1:9" ht="15">
      <c r="A122" s="186" t="s">
        <v>1143</v>
      </c>
      <c r="B122" s="188">
        <v>0</v>
      </c>
      <c r="C122" s="188">
        <v>0</v>
      </c>
      <c r="D122" s="188">
        <v>430</v>
      </c>
      <c r="E122" s="188">
        <v>260</v>
      </c>
      <c r="F122" s="188">
        <v>170</v>
      </c>
      <c r="G122" s="188">
        <v>0</v>
      </c>
      <c r="H122" t="s">
        <v>2290</v>
      </c>
      <c r="I122"/>
    </row>
    <row r="123" spans="1:9" ht="15">
      <c r="A123" s="186" t="s">
        <v>1144</v>
      </c>
      <c r="B123" s="188">
        <v>0</v>
      </c>
      <c r="C123" s="188">
        <v>0</v>
      </c>
      <c r="D123" s="188">
        <v>11985.12</v>
      </c>
      <c r="E123" s="188">
        <v>11985.12</v>
      </c>
      <c r="F123" s="188">
        <v>0</v>
      </c>
      <c r="G123" s="188">
        <v>0</v>
      </c>
      <c r="H123"/>
      <c r="I123"/>
    </row>
    <row r="124" spans="1:9" ht="15">
      <c r="A124" s="186" t="s">
        <v>1145</v>
      </c>
      <c r="B124" s="188">
        <v>0</v>
      </c>
      <c r="C124" s="188">
        <v>0</v>
      </c>
      <c r="D124" s="188">
        <v>150</v>
      </c>
      <c r="E124" s="188">
        <v>150</v>
      </c>
      <c r="F124" s="188">
        <v>0</v>
      </c>
      <c r="G124" s="188">
        <v>0</v>
      </c>
      <c r="H124"/>
      <c r="I124"/>
    </row>
    <row r="125" spans="1:9" ht="15">
      <c r="A125" s="186" t="s">
        <v>1146</v>
      </c>
      <c r="B125" s="188">
        <v>0</v>
      </c>
      <c r="C125" s="188">
        <v>0</v>
      </c>
      <c r="D125" s="188">
        <v>235.2</v>
      </c>
      <c r="E125" s="188">
        <v>235.2</v>
      </c>
      <c r="F125" s="188">
        <v>0</v>
      </c>
      <c r="G125" s="188">
        <v>0</v>
      </c>
      <c r="H125"/>
      <c r="I125"/>
    </row>
    <row r="126" spans="1:9" ht="15">
      <c r="A126" s="186" t="s">
        <v>1147</v>
      </c>
      <c r="B126" s="188">
        <v>0</v>
      </c>
      <c r="C126" s="188">
        <v>0</v>
      </c>
      <c r="D126" s="188">
        <v>2832.6419999999998</v>
      </c>
      <c r="E126" s="188">
        <v>2830.6419999999998</v>
      </c>
      <c r="F126" s="188">
        <v>2</v>
      </c>
      <c r="G126" s="188">
        <v>0</v>
      </c>
      <c r="H126" t="s">
        <v>2164</v>
      </c>
      <c r="I126" t="s">
        <v>2291</v>
      </c>
    </row>
    <row r="127" spans="1:9" ht="15">
      <c r="A127" s="186" t="s">
        <v>1148</v>
      </c>
      <c r="B127" s="188">
        <v>0</v>
      </c>
      <c r="C127" s="188">
        <v>0</v>
      </c>
      <c r="D127" s="188">
        <v>89.147999999999996</v>
      </c>
      <c r="E127" s="188">
        <v>0</v>
      </c>
      <c r="F127" s="188">
        <v>89.147999999999996</v>
      </c>
      <c r="G127" s="188">
        <v>0</v>
      </c>
      <c r="H127" t="s">
        <v>2288</v>
      </c>
      <c r="I127"/>
    </row>
    <row r="128" spans="1:9" ht="15">
      <c r="A128" s="186" t="s">
        <v>1149</v>
      </c>
      <c r="B128" s="188">
        <v>0</v>
      </c>
      <c r="C128" s="188">
        <v>0</v>
      </c>
      <c r="D128" s="188">
        <v>118278.57252</v>
      </c>
      <c r="E128" s="188">
        <v>114368.95969</v>
      </c>
      <c r="F128" s="197">
        <v>3909.61283</v>
      </c>
      <c r="G128" s="188">
        <v>0</v>
      </c>
      <c r="H128" s="419" t="s">
        <v>2164</v>
      </c>
      <c r="I128" t="s">
        <v>2292</v>
      </c>
    </row>
    <row r="129" spans="1:9" ht="15">
      <c r="A129" s="186" t="s">
        <v>1150</v>
      </c>
      <c r="B129" s="188">
        <v>416.24599999999998</v>
      </c>
      <c r="C129" s="188">
        <v>0</v>
      </c>
      <c r="D129" s="188">
        <v>75</v>
      </c>
      <c r="E129" s="188">
        <v>491.24599999999998</v>
      </c>
      <c r="F129" s="188">
        <v>0</v>
      </c>
      <c r="G129" s="188">
        <v>0</v>
      </c>
      <c r="H129"/>
      <c r="I129"/>
    </row>
    <row r="130" spans="1:9" ht="15">
      <c r="A130" s="186" t="s">
        <v>1151</v>
      </c>
      <c r="B130" s="188">
        <v>0</v>
      </c>
      <c r="C130" s="188">
        <v>0</v>
      </c>
      <c r="D130" s="188">
        <v>800</v>
      </c>
      <c r="E130" s="188">
        <v>800</v>
      </c>
      <c r="F130" s="188">
        <v>0</v>
      </c>
      <c r="G130" s="188">
        <v>0</v>
      </c>
      <c r="H130"/>
      <c r="I130"/>
    </row>
    <row r="131" spans="1:9" ht="15">
      <c r="A131" s="186" t="s">
        <v>1152</v>
      </c>
      <c r="B131" s="188">
        <v>0</v>
      </c>
      <c r="C131" s="188">
        <v>0</v>
      </c>
      <c r="D131" s="188">
        <v>34.700000000000003</v>
      </c>
      <c r="E131" s="188">
        <v>34.700000000000003</v>
      </c>
      <c r="F131" s="188">
        <v>0</v>
      </c>
      <c r="G131" s="188">
        <v>0</v>
      </c>
      <c r="H131"/>
      <c r="I131"/>
    </row>
    <row r="132" spans="1:9" ht="15">
      <c r="A132" s="186" t="s">
        <v>1153</v>
      </c>
      <c r="B132" s="188">
        <v>0</v>
      </c>
      <c r="C132" s="188">
        <v>0</v>
      </c>
      <c r="D132" s="188">
        <v>1450</v>
      </c>
      <c r="E132" s="188">
        <v>1450</v>
      </c>
      <c r="F132" s="188">
        <v>0</v>
      </c>
      <c r="G132" s="188">
        <v>0</v>
      </c>
      <c r="H132"/>
      <c r="I132"/>
    </row>
    <row r="133" spans="1:9" ht="15">
      <c r="A133" s="186" t="s">
        <v>1154</v>
      </c>
      <c r="B133" s="188">
        <v>0</v>
      </c>
      <c r="C133" s="188">
        <v>0</v>
      </c>
      <c r="D133" s="188">
        <v>34423.65</v>
      </c>
      <c r="E133" s="188">
        <v>34423.65</v>
      </c>
      <c r="F133" s="188">
        <v>0</v>
      </c>
      <c r="G133" s="188">
        <v>0</v>
      </c>
      <c r="H133"/>
      <c r="I133"/>
    </row>
    <row r="134" spans="1:9" ht="15">
      <c r="A134" s="186" t="s">
        <v>1155</v>
      </c>
      <c r="B134" s="188">
        <v>0</v>
      </c>
      <c r="C134" s="188">
        <v>0</v>
      </c>
      <c r="D134" s="188">
        <v>3482.8</v>
      </c>
      <c r="E134" s="188">
        <v>991.55669999999998</v>
      </c>
      <c r="F134" s="197">
        <v>2491.2432999999996</v>
      </c>
      <c r="G134" s="188">
        <v>0</v>
      </c>
      <c r="H134" t="s">
        <v>2288</v>
      </c>
      <c r="I134" t="s">
        <v>2293</v>
      </c>
    </row>
    <row r="135" spans="1:9" ht="15">
      <c r="A135" s="186" t="s">
        <v>1156</v>
      </c>
      <c r="B135" s="188">
        <v>0</v>
      </c>
      <c r="C135" s="188">
        <v>0</v>
      </c>
      <c r="D135" s="188">
        <v>1661.925</v>
      </c>
      <c r="E135" s="188">
        <v>1544.625</v>
      </c>
      <c r="F135" s="188">
        <v>117.3</v>
      </c>
      <c r="G135" s="188">
        <v>0</v>
      </c>
      <c r="H135" t="s">
        <v>2294</v>
      </c>
      <c r="I135"/>
    </row>
    <row r="136" spans="1:9" ht="15">
      <c r="A136" s="186" t="s">
        <v>1157</v>
      </c>
      <c r="B136" s="188">
        <v>1213.8</v>
      </c>
      <c r="C136" s="188">
        <v>0</v>
      </c>
      <c r="D136" s="188">
        <v>912.79200000000003</v>
      </c>
      <c r="E136" s="188">
        <v>912.79200000000003</v>
      </c>
      <c r="F136" s="188">
        <v>1213.8</v>
      </c>
      <c r="G136" s="188">
        <v>0</v>
      </c>
      <c r="H136" t="s">
        <v>2283</v>
      </c>
      <c r="I136"/>
    </row>
    <row r="137" spans="1:9" ht="15">
      <c r="A137" s="186" t="s">
        <v>1158</v>
      </c>
      <c r="B137" s="188">
        <v>0</v>
      </c>
      <c r="C137" s="188">
        <v>0</v>
      </c>
      <c r="D137" s="188">
        <v>1565</v>
      </c>
      <c r="E137" s="188">
        <v>1565</v>
      </c>
      <c r="F137" s="188">
        <v>0</v>
      </c>
      <c r="G137" s="188">
        <v>0</v>
      </c>
      <c r="H137"/>
      <c r="I137"/>
    </row>
    <row r="138" spans="1:9" ht="15">
      <c r="A138" s="186" t="s">
        <v>1159</v>
      </c>
      <c r="B138" s="188">
        <v>0</v>
      </c>
      <c r="C138" s="188">
        <v>0</v>
      </c>
      <c r="D138" s="188">
        <v>999.22799999999995</v>
      </c>
      <c r="E138" s="188">
        <v>999.22799999999995</v>
      </c>
      <c r="F138" s="188">
        <v>0</v>
      </c>
      <c r="G138" s="188">
        <v>0</v>
      </c>
      <c r="H138" t="s">
        <v>2295</v>
      </c>
      <c r="I138"/>
    </row>
    <row r="139" spans="1:9" ht="15">
      <c r="A139" s="186" t="s">
        <v>1160</v>
      </c>
      <c r="B139" s="188">
        <v>0</v>
      </c>
      <c r="C139" s="188">
        <v>0</v>
      </c>
      <c r="D139" s="188">
        <v>769.23</v>
      </c>
      <c r="E139" s="188">
        <v>769.23</v>
      </c>
      <c r="F139" s="188">
        <v>0</v>
      </c>
      <c r="G139" s="188">
        <v>0</v>
      </c>
      <c r="H139"/>
      <c r="I139"/>
    </row>
    <row r="140" spans="1:9" ht="15">
      <c r="A140" s="186" t="s">
        <v>1161</v>
      </c>
      <c r="B140" s="188">
        <v>0</v>
      </c>
      <c r="C140" s="188">
        <v>0</v>
      </c>
      <c r="D140" s="188">
        <v>495.8</v>
      </c>
      <c r="E140" s="188">
        <v>0</v>
      </c>
      <c r="F140" s="188">
        <v>495.8</v>
      </c>
      <c r="G140" s="188">
        <v>0</v>
      </c>
      <c r="H140" t="s">
        <v>2296</v>
      </c>
      <c r="I140"/>
    </row>
    <row r="141" spans="1:9" ht="15">
      <c r="A141" s="186" t="s">
        <v>1162</v>
      </c>
      <c r="B141" s="188">
        <v>1122.78</v>
      </c>
      <c r="C141" s="188">
        <v>0</v>
      </c>
      <c r="D141" s="188">
        <v>3372.6</v>
      </c>
      <c r="E141" s="188">
        <v>4229.6099999999997</v>
      </c>
      <c r="F141" s="188">
        <v>265.77</v>
      </c>
      <c r="G141" s="188">
        <v>0</v>
      </c>
      <c r="H141" t="s">
        <v>2294</v>
      </c>
      <c r="I141" t="s">
        <v>2297</v>
      </c>
    </row>
    <row r="142" spans="1:9" ht="15">
      <c r="A142" s="186" t="s">
        <v>1163</v>
      </c>
      <c r="B142" s="188">
        <v>0</v>
      </c>
      <c r="C142" s="188">
        <v>0</v>
      </c>
      <c r="D142" s="188">
        <v>45.2</v>
      </c>
      <c r="E142" s="188">
        <v>0</v>
      </c>
      <c r="F142" s="188">
        <v>45.2</v>
      </c>
      <c r="G142" s="188">
        <v>0</v>
      </c>
      <c r="H142" t="s">
        <v>2164</v>
      </c>
      <c r="I142" t="s">
        <v>2298</v>
      </c>
    </row>
    <row r="143" spans="1:9" ht="15">
      <c r="A143" s="186" t="s">
        <v>1164</v>
      </c>
      <c r="B143" s="188">
        <v>0</v>
      </c>
      <c r="C143" s="188">
        <v>0</v>
      </c>
      <c r="D143" s="188">
        <v>6936.43</v>
      </c>
      <c r="E143" s="188">
        <v>6936.43</v>
      </c>
      <c r="F143" s="188">
        <v>0</v>
      </c>
      <c r="G143" s="188">
        <v>0</v>
      </c>
      <c r="H143"/>
      <c r="I143"/>
    </row>
    <row r="144" spans="1:9" ht="15">
      <c r="A144" s="186" t="s">
        <v>1165</v>
      </c>
      <c r="B144" s="188">
        <v>0</v>
      </c>
      <c r="C144" s="188">
        <v>0</v>
      </c>
      <c r="D144" s="188">
        <v>4062.24</v>
      </c>
      <c r="E144" s="188">
        <v>4062.24</v>
      </c>
      <c r="F144" s="188">
        <v>0</v>
      </c>
      <c r="G144" s="188">
        <v>0</v>
      </c>
      <c r="H144"/>
      <c r="I144"/>
    </row>
    <row r="145" spans="1:9" ht="15">
      <c r="A145" s="186" t="s">
        <v>1166</v>
      </c>
      <c r="B145" s="188">
        <v>0</v>
      </c>
      <c r="C145" s="188">
        <v>0</v>
      </c>
      <c r="D145" s="188">
        <v>701.15</v>
      </c>
      <c r="E145" s="188">
        <v>701.15</v>
      </c>
      <c r="F145" s="188">
        <v>0</v>
      </c>
      <c r="G145" s="188">
        <v>0</v>
      </c>
      <c r="H145"/>
      <c r="I145"/>
    </row>
    <row r="146" spans="1:9" ht="15">
      <c r="A146" s="186" t="s">
        <v>1167</v>
      </c>
      <c r="B146" s="188">
        <v>0</v>
      </c>
      <c r="C146" s="188">
        <v>0</v>
      </c>
      <c r="D146" s="188">
        <v>189595.20759999999</v>
      </c>
      <c r="E146" s="188">
        <v>189595.20759999999</v>
      </c>
      <c r="F146" s="188">
        <v>0</v>
      </c>
      <c r="G146" s="188">
        <v>0</v>
      </c>
      <c r="H146"/>
      <c r="I146"/>
    </row>
    <row r="147" spans="1:9" ht="15">
      <c r="A147" s="186" t="s">
        <v>1168</v>
      </c>
      <c r="B147" s="188">
        <v>0</v>
      </c>
      <c r="C147" s="188">
        <v>0</v>
      </c>
      <c r="D147" s="188">
        <v>32416.11896</v>
      </c>
      <c r="E147" s="188">
        <v>32416.11896</v>
      </c>
      <c r="F147" s="188">
        <v>0</v>
      </c>
      <c r="G147" s="188">
        <v>0</v>
      </c>
      <c r="H147"/>
      <c r="I147"/>
    </row>
    <row r="148" spans="1:9" ht="15">
      <c r="A148" s="186" t="s">
        <v>1169</v>
      </c>
      <c r="B148" s="188">
        <v>0</v>
      </c>
      <c r="C148" s="188">
        <v>0</v>
      </c>
      <c r="D148" s="188">
        <v>357</v>
      </c>
      <c r="E148" s="188">
        <v>40</v>
      </c>
      <c r="F148" s="188">
        <v>317</v>
      </c>
      <c r="G148" s="188">
        <v>0</v>
      </c>
      <c r="H148" t="s">
        <v>2164</v>
      </c>
      <c r="I148"/>
    </row>
    <row r="149" spans="1:9" ht="15">
      <c r="A149" s="186" t="s">
        <v>1170</v>
      </c>
      <c r="B149" s="188">
        <v>0</v>
      </c>
      <c r="C149" s="188">
        <v>0</v>
      </c>
      <c r="D149" s="188">
        <v>46140.164119999994</v>
      </c>
      <c r="E149" s="188">
        <v>46140.164119999994</v>
      </c>
      <c r="F149" s="188">
        <v>0</v>
      </c>
      <c r="G149" s="188">
        <v>0</v>
      </c>
      <c r="H149"/>
      <c r="I149"/>
    </row>
    <row r="150" spans="1:9" ht="15">
      <c r="A150" s="186" t="s">
        <v>1171</v>
      </c>
      <c r="B150" s="188">
        <v>0</v>
      </c>
      <c r="C150" s="188">
        <v>0</v>
      </c>
      <c r="D150" s="188">
        <v>90</v>
      </c>
      <c r="E150" s="188">
        <v>90</v>
      </c>
      <c r="F150" s="188">
        <v>0</v>
      </c>
      <c r="G150" s="188">
        <v>0</v>
      </c>
      <c r="H150"/>
      <c r="I150"/>
    </row>
    <row r="151" spans="1:9" ht="15">
      <c r="A151" s="186" t="s">
        <v>1172</v>
      </c>
      <c r="B151" s="188">
        <v>0</v>
      </c>
      <c r="C151" s="188">
        <v>0</v>
      </c>
      <c r="D151" s="188">
        <v>1450</v>
      </c>
      <c r="E151" s="188">
        <v>0</v>
      </c>
      <c r="F151" s="197">
        <v>1450</v>
      </c>
      <c r="G151" s="188">
        <v>0</v>
      </c>
      <c r="H151" s="226" t="s">
        <v>2288</v>
      </c>
      <c r="I151" t="s">
        <v>2299</v>
      </c>
    </row>
    <row r="152" spans="1:9" ht="15">
      <c r="A152" s="186" t="s">
        <v>1173</v>
      </c>
      <c r="B152" s="188">
        <v>0</v>
      </c>
      <c r="C152" s="188">
        <v>0</v>
      </c>
      <c r="D152" s="188">
        <v>937.73400000000004</v>
      </c>
      <c r="E152" s="188">
        <v>937.73400000000004</v>
      </c>
      <c r="F152" s="188">
        <v>0</v>
      </c>
      <c r="G152" s="188">
        <v>0</v>
      </c>
      <c r="H152"/>
      <c r="I152"/>
    </row>
    <row r="153" spans="1:9" ht="15">
      <c r="A153" s="186" t="s">
        <v>1174</v>
      </c>
      <c r="B153" s="188">
        <v>0</v>
      </c>
      <c r="C153" s="188">
        <v>0</v>
      </c>
      <c r="D153" s="188">
        <v>23.588999999999999</v>
      </c>
      <c r="E153" s="188">
        <v>23.588999999999999</v>
      </c>
      <c r="F153" s="188">
        <v>0</v>
      </c>
      <c r="G153" s="188">
        <v>0</v>
      </c>
      <c r="H153"/>
      <c r="I153"/>
    </row>
    <row r="154" spans="1:9" ht="15">
      <c r="A154" s="186" t="s">
        <v>1175</v>
      </c>
      <c r="B154" s="188">
        <v>687.4</v>
      </c>
      <c r="C154" s="188">
        <v>0</v>
      </c>
      <c r="D154" s="188">
        <v>579.94200000000001</v>
      </c>
      <c r="E154" s="188">
        <v>1267.3420000000001</v>
      </c>
      <c r="F154" s="188">
        <v>0</v>
      </c>
      <c r="G154" s="188">
        <v>0</v>
      </c>
      <c r="H154"/>
      <c r="I154"/>
    </row>
    <row r="155" spans="1:9" ht="15">
      <c r="A155" s="186" t="s">
        <v>1176</v>
      </c>
      <c r="B155" s="188">
        <v>50.46</v>
      </c>
      <c r="C155" s="188">
        <v>0</v>
      </c>
      <c r="D155" s="188">
        <v>0</v>
      </c>
      <c r="E155" s="188">
        <v>0</v>
      </c>
      <c r="F155" s="188">
        <v>50.46</v>
      </c>
      <c r="G155" s="188">
        <v>0</v>
      </c>
      <c r="H155" t="s">
        <v>2300</v>
      </c>
      <c r="I155"/>
    </row>
    <row r="156" spans="1:9" ht="15">
      <c r="A156" s="186" t="s">
        <v>1177</v>
      </c>
      <c r="B156" s="188">
        <v>0</v>
      </c>
      <c r="C156" s="188">
        <v>0</v>
      </c>
      <c r="D156" s="188">
        <v>1344</v>
      </c>
      <c r="E156" s="188">
        <v>1344</v>
      </c>
      <c r="F156" s="188">
        <v>0</v>
      </c>
      <c r="G156" s="188">
        <v>0</v>
      </c>
      <c r="H156"/>
      <c r="I156"/>
    </row>
    <row r="157" spans="1:9" ht="15">
      <c r="A157" s="186" t="s">
        <v>1178</v>
      </c>
      <c r="B157" s="188">
        <v>0</v>
      </c>
      <c r="C157" s="188">
        <v>0</v>
      </c>
      <c r="D157" s="188">
        <v>484413.68498000002</v>
      </c>
      <c r="E157" s="188">
        <v>484413.68498000002</v>
      </c>
      <c r="F157" s="188">
        <v>0</v>
      </c>
      <c r="G157" s="188">
        <v>0</v>
      </c>
      <c r="H157" t="s">
        <v>2120</v>
      </c>
      <c r="I157"/>
    </row>
    <row r="158" spans="1:9" ht="15">
      <c r="A158" s="186" t="s">
        <v>773</v>
      </c>
      <c r="B158" s="188">
        <v>706.60840000000007</v>
      </c>
      <c r="C158" s="188">
        <v>0</v>
      </c>
      <c r="D158" s="188">
        <v>18323.669850000002</v>
      </c>
      <c r="E158" s="188">
        <v>18499.669850000002</v>
      </c>
      <c r="F158" s="188">
        <v>530.60840000000007</v>
      </c>
      <c r="G158" s="188">
        <v>0</v>
      </c>
      <c r="H158" t="s">
        <v>2284</v>
      </c>
      <c r="I158"/>
    </row>
    <row r="159" spans="1:9" ht="15">
      <c r="A159" s="186" t="s">
        <v>1179</v>
      </c>
      <c r="B159" s="188">
        <v>1218.1650900000002</v>
      </c>
      <c r="C159" s="188">
        <v>0</v>
      </c>
      <c r="D159" s="188">
        <v>0</v>
      </c>
      <c r="E159" s="188">
        <v>906.28761999999995</v>
      </c>
      <c r="F159" s="188">
        <v>311.87746999999996</v>
      </c>
      <c r="G159" s="188">
        <v>0</v>
      </c>
      <c r="H159" t="s">
        <v>2164</v>
      </c>
      <c r="I159" t="s">
        <v>2301</v>
      </c>
    </row>
    <row r="160" spans="1:9" ht="15">
      <c r="A160" s="186" t="s">
        <v>1180</v>
      </c>
      <c r="B160" s="188">
        <v>169.5</v>
      </c>
      <c r="C160" s="188">
        <v>0</v>
      </c>
      <c r="D160" s="188">
        <v>0</v>
      </c>
      <c r="E160" s="188">
        <v>0</v>
      </c>
      <c r="F160" s="188">
        <v>169.5</v>
      </c>
      <c r="G160" s="188">
        <v>0</v>
      </c>
      <c r="H160" t="s">
        <v>2288</v>
      </c>
      <c r="I160"/>
    </row>
    <row r="161" spans="1:9" ht="15">
      <c r="A161" s="186" t="s">
        <v>1181</v>
      </c>
      <c r="B161" s="188">
        <v>0</v>
      </c>
      <c r="C161" s="188">
        <v>0</v>
      </c>
      <c r="D161" s="188">
        <v>51171.981500000002</v>
      </c>
      <c r="E161" s="188">
        <v>51171.981500000002</v>
      </c>
      <c r="F161" s="188">
        <v>0</v>
      </c>
      <c r="G161" s="188">
        <v>0</v>
      </c>
      <c r="H161"/>
      <c r="I161"/>
    </row>
    <row r="162" spans="1:9" ht="15">
      <c r="A162" s="186" t="s">
        <v>1182</v>
      </c>
      <c r="B162" s="188">
        <v>0</v>
      </c>
      <c r="C162" s="188">
        <v>0</v>
      </c>
      <c r="D162" s="188">
        <v>110</v>
      </c>
      <c r="E162" s="188">
        <v>110</v>
      </c>
      <c r="F162" s="188">
        <v>0</v>
      </c>
      <c r="G162" s="188">
        <v>0</v>
      </c>
      <c r="H162"/>
      <c r="I162"/>
    </row>
    <row r="163" spans="1:9" ht="15">
      <c r="A163" s="186" t="s">
        <v>1183</v>
      </c>
      <c r="B163" s="188">
        <v>201.18822</v>
      </c>
      <c r="C163" s="188">
        <v>0</v>
      </c>
      <c r="D163" s="188">
        <v>607.5</v>
      </c>
      <c r="E163" s="188">
        <v>577.33891000000006</v>
      </c>
      <c r="F163" s="188">
        <v>231.34931</v>
      </c>
      <c r="G163" s="188">
        <v>0</v>
      </c>
      <c r="H163" t="s">
        <v>2164</v>
      </c>
      <c r="I163" t="s">
        <v>2302</v>
      </c>
    </row>
    <row r="164" spans="1:9" ht="15">
      <c r="A164" s="186" t="s">
        <v>1184</v>
      </c>
      <c r="B164" s="188">
        <v>0</v>
      </c>
      <c r="C164" s="188">
        <v>0</v>
      </c>
      <c r="D164" s="188">
        <v>111301.5992</v>
      </c>
      <c r="E164" s="188">
        <v>111287.61199999999</v>
      </c>
      <c r="F164" s="188">
        <v>13.987200000000001</v>
      </c>
      <c r="G164" s="188">
        <v>0</v>
      </c>
      <c r="H164" t="s">
        <v>2288</v>
      </c>
      <c r="I164"/>
    </row>
    <row r="165" spans="1:9" ht="15">
      <c r="A165" s="186" t="s">
        <v>1185</v>
      </c>
      <c r="B165" s="188">
        <v>0</v>
      </c>
      <c r="C165" s="188">
        <v>0</v>
      </c>
      <c r="D165" s="188">
        <v>398</v>
      </c>
      <c r="E165" s="188">
        <v>398</v>
      </c>
      <c r="F165" s="188">
        <v>0</v>
      </c>
      <c r="G165" s="188">
        <v>0</v>
      </c>
      <c r="H165"/>
      <c r="I165"/>
    </row>
    <row r="166" spans="1:9" ht="15">
      <c r="A166" s="186" t="s">
        <v>1186</v>
      </c>
      <c r="B166" s="188">
        <v>0</v>
      </c>
      <c r="C166" s="188">
        <v>0</v>
      </c>
      <c r="D166" s="188">
        <v>8907.0943499999994</v>
      </c>
      <c r="E166" s="188">
        <v>8907.0943499999994</v>
      </c>
      <c r="F166" s="188">
        <v>0</v>
      </c>
      <c r="G166" s="188">
        <v>0</v>
      </c>
      <c r="H166"/>
      <c r="I166"/>
    </row>
    <row r="167" spans="1:9" ht="15">
      <c r="A167" s="186" t="s">
        <v>1187</v>
      </c>
      <c r="B167" s="188">
        <v>0</v>
      </c>
      <c r="C167" s="188">
        <v>0</v>
      </c>
      <c r="D167" s="188">
        <v>439.33800000000002</v>
      </c>
      <c r="E167" s="188">
        <v>439.33800000000002</v>
      </c>
      <c r="F167" s="188">
        <v>0</v>
      </c>
      <c r="G167" s="188">
        <v>0</v>
      </c>
      <c r="H167"/>
      <c r="I167"/>
    </row>
    <row r="168" spans="1:9" ht="15">
      <c r="A168" s="186" t="s">
        <v>1188</v>
      </c>
      <c r="B168" s="188">
        <v>0</v>
      </c>
      <c r="C168" s="188">
        <v>0</v>
      </c>
      <c r="D168" s="188">
        <v>2136.6410000000001</v>
      </c>
      <c r="E168" s="188">
        <v>2136.6410000000001</v>
      </c>
      <c r="F168" s="188">
        <v>0</v>
      </c>
      <c r="G168" s="188">
        <v>0</v>
      </c>
      <c r="H168"/>
      <c r="I168"/>
    </row>
    <row r="169" spans="1:9" ht="15">
      <c r="A169" s="186" t="s">
        <v>1189</v>
      </c>
      <c r="B169" s="188">
        <v>0</v>
      </c>
      <c r="C169" s="188">
        <v>0</v>
      </c>
      <c r="D169" s="188">
        <v>2244.7530000000002</v>
      </c>
      <c r="E169" s="188">
        <v>2244.7530000000002</v>
      </c>
      <c r="F169" s="188">
        <v>0</v>
      </c>
      <c r="G169" s="188">
        <v>0</v>
      </c>
      <c r="H169"/>
      <c r="I169"/>
    </row>
    <row r="170" spans="1:9" ht="15">
      <c r="A170" s="186" t="s">
        <v>1190</v>
      </c>
      <c r="B170" s="188">
        <v>0</v>
      </c>
      <c r="C170" s="188">
        <v>0</v>
      </c>
      <c r="D170" s="188">
        <v>1458.932</v>
      </c>
      <c r="E170" s="188">
        <v>1458.932</v>
      </c>
      <c r="F170" s="188">
        <v>0</v>
      </c>
      <c r="G170" s="188">
        <v>0</v>
      </c>
      <c r="H170"/>
      <c r="I170"/>
    </row>
    <row r="171" spans="1:9" ht="15">
      <c r="A171" s="186" t="s">
        <v>1191</v>
      </c>
      <c r="B171" s="188">
        <v>595.5</v>
      </c>
      <c r="C171" s="188">
        <v>0</v>
      </c>
      <c r="D171" s="188">
        <v>17266.272710000001</v>
      </c>
      <c r="E171" s="188">
        <v>17861.772710000001</v>
      </c>
      <c r="F171" s="188">
        <v>0</v>
      </c>
      <c r="G171" s="188">
        <v>0</v>
      </c>
      <c r="H171"/>
      <c r="I171"/>
    </row>
    <row r="172" spans="1:9" ht="15">
      <c r="A172" s="186" t="s">
        <v>1192</v>
      </c>
      <c r="B172" s="188">
        <v>0</v>
      </c>
      <c r="C172" s="188">
        <v>0</v>
      </c>
      <c r="D172" s="188">
        <v>68.766000000000005</v>
      </c>
      <c r="E172" s="188">
        <v>68.766000000000005</v>
      </c>
      <c r="F172" s="188">
        <v>0</v>
      </c>
      <c r="G172" s="188">
        <v>0</v>
      </c>
      <c r="H172"/>
      <c r="I172"/>
    </row>
    <row r="173" spans="1:9" ht="15">
      <c r="A173" s="186" t="s">
        <v>1193</v>
      </c>
      <c r="B173" s="188">
        <v>0</v>
      </c>
      <c r="C173" s="188">
        <v>0</v>
      </c>
      <c r="D173" s="188">
        <v>3175.2</v>
      </c>
      <c r="E173" s="188">
        <v>3175.2</v>
      </c>
      <c r="F173" s="188">
        <v>0</v>
      </c>
      <c r="G173" s="188">
        <v>0</v>
      </c>
      <c r="H173"/>
      <c r="I173"/>
    </row>
    <row r="174" spans="1:9" ht="15">
      <c r="A174" s="186" t="s">
        <v>1194</v>
      </c>
      <c r="B174" s="188">
        <v>0</v>
      </c>
      <c r="C174" s="188">
        <v>0</v>
      </c>
      <c r="D174" s="188">
        <v>678.83199999999999</v>
      </c>
      <c r="E174" s="188">
        <v>678.83199999999999</v>
      </c>
      <c r="F174" s="188">
        <v>0</v>
      </c>
      <c r="G174" s="188">
        <v>0</v>
      </c>
      <c r="H174"/>
      <c r="I174"/>
    </row>
    <row r="175" spans="1:9" ht="15">
      <c r="A175" s="186" t="s">
        <v>1195</v>
      </c>
      <c r="B175" s="188">
        <v>0</v>
      </c>
      <c r="C175" s="188">
        <v>0</v>
      </c>
      <c r="D175" s="188">
        <v>78203.152560000002</v>
      </c>
      <c r="E175" s="188">
        <v>78203.152560000002</v>
      </c>
      <c r="F175" s="188">
        <v>0</v>
      </c>
      <c r="G175" s="188">
        <v>0</v>
      </c>
      <c r="H175"/>
      <c r="I175"/>
    </row>
    <row r="176" spans="1:9" ht="15">
      <c r="A176" s="186" t="s">
        <v>1196</v>
      </c>
      <c r="B176" s="188">
        <v>0</v>
      </c>
      <c r="C176" s="188">
        <v>0</v>
      </c>
      <c r="D176" s="188">
        <v>777.6</v>
      </c>
      <c r="E176" s="188">
        <v>777.6</v>
      </c>
      <c r="F176" s="188">
        <v>0</v>
      </c>
      <c r="G176" s="188">
        <v>0</v>
      </c>
      <c r="H176"/>
      <c r="I176"/>
    </row>
    <row r="177" spans="1:9" ht="15">
      <c r="A177" s="186" t="s">
        <v>1197</v>
      </c>
      <c r="B177" s="188">
        <v>0</v>
      </c>
      <c r="C177" s="188">
        <v>0</v>
      </c>
      <c r="D177" s="188">
        <v>83326.356499999994</v>
      </c>
      <c r="E177" s="188">
        <v>83326.356499999994</v>
      </c>
      <c r="F177" s="188">
        <v>0</v>
      </c>
      <c r="G177" s="188">
        <v>0</v>
      </c>
      <c r="H177"/>
      <c r="I177"/>
    </row>
    <row r="178" spans="1:9" ht="15">
      <c r="A178" s="186" t="s">
        <v>1198</v>
      </c>
      <c r="B178" s="188">
        <v>0</v>
      </c>
      <c r="C178" s="188">
        <v>0</v>
      </c>
      <c r="D178" s="188">
        <v>16938.969710000001</v>
      </c>
      <c r="E178" s="188">
        <v>16938.969710000001</v>
      </c>
      <c r="F178" s="188">
        <v>0</v>
      </c>
      <c r="G178" s="188">
        <v>0</v>
      </c>
      <c r="H178"/>
      <c r="I178"/>
    </row>
    <row r="179" spans="1:9" ht="15">
      <c r="A179" s="186" t="s">
        <v>1199</v>
      </c>
      <c r="B179" s="188">
        <v>0</v>
      </c>
      <c r="C179" s="188">
        <v>0</v>
      </c>
      <c r="D179" s="188">
        <v>179.48</v>
      </c>
      <c r="E179" s="188">
        <v>179.48</v>
      </c>
      <c r="F179" s="188">
        <v>0</v>
      </c>
      <c r="G179" s="188">
        <v>0</v>
      </c>
      <c r="H179"/>
      <c r="I179"/>
    </row>
    <row r="180" spans="1:9" ht="15">
      <c r="A180" s="186" t="s">
        <v>789</v>
      </c>
      <c r="B180" s="188">
        <v>0</v>
      </c>
      <c r="C180" s="188">
        <v>0</v>
      </c>
      <c r="D180" s="188">
        <v>47883.510560000002</v>
      </c>
      <c r="E180" s="188">
        <v>47883.510560000002</v>
      </c>
      <c r="F180" s="188">
        <v>0</v>
      </c>
      <c r="G180" s="188">
        <v>0</v>
      </c>
      <c r="H180"/>
      <c r="I180"/>
    </row>
    <row r="181" spans="1:9" ht="15">
      <c r="A181" s="186" t="s">
        <v>1200</v>
      </c>
      <c r="B181" s="188">
        <v>7273.2464</v>
      </c>
      <c r="C181" s="188">
        <v>0</v>
      </c>
      <c r="D181" s="188">
        <v>53506.072</v>
      </c>
      <c r="E181" s="188">
        <v>49855.974880000002</v>
      </c>
      <c r="F181" s="188">
        <v>10923.34352</v>
      </c>
      <c r="G181" s="188">
        <v>0</v>
      </c>
      <c r="H181" t="s">
        <v>2164</v>
      </c>
      <c r="I181" t="s">
        <v>2303</v>
      </c>
    </row>
    <row r="182" spans="1:9" ht="15">
      <c r="A182" s="186" t="s">
        <v>1201</v>
      </c>
      <c r="B182" s="188">
        <v>0</v>
      </c>
      <c r="C182" s="188">
        <v>0</v>
      </c>
      <c r="D182" s="188">
        <v>47.542000000000002</v>
      </c>
      <c r="E182" s="188">
        <v>47.542000000000002</v>
      </c>
      <c r="F182" s="188">
        <v>0</v>
      </c>
      <c r="G182" s="188">
        <v>0</v>
      </c>
      <c r="H182"/>
      <c r="I182"/>
    </row>
    <row r="183" spans="1:9" ht="15">
      <c r="A183" s="186" t="s">
        <v>1202</v>
      </c>
      <c r="B183" s="188">
        <v>0</v>
      </c>
      <c r="C183" s="188">
        <v>0</v>
      </c>
      <c r="D183" s="188">
        <v>1121.8050000000001</v>
      </c>
      <c r="E183" s="188">
        <v>1121.8050000000001</v>
      </c>
      <c r="F183" s="188">
        <v>0</v>
      </c>
      <c r="G183" s="188">
        <v>0</v>
      </c>
      <c r="H183"/>
      <c r="I183"/>
    </row>
    <row r="184" spans="1:9" ht="15">
      <c r="A184" s="186" t="s">
        <v>1203</v>
      </c>
      <c r="B184" s="188">
        <v>3860.39725</v>
      </c>
      <c r="C184" s="188">
        <v>0</v>
      </c>
      <c r="D184" s="188">
        <v>1650</v>
      </c>
      <c r="E184" s="188">
        <v>5510.39725</v>
      </c>
      <c r="F184" s="188">
        <v>0</v>
      </c>
      <c r="G184" s="188">
        <v>0</v>
      </c>
      <c r="H184" t="s">
        <v>2304</v>
      </c>
      <c r="I184"/>
    </row>
    <row r="185" spans="1:9" ht="15">
      <c r="A185" s="186" t="s">
        <v>1204</v>
      </c>
      <c r="B185" s="188">
        <v>0</v>
      </c>
      <c r="C185" s="188">
        <v>0</v>
      </c>
      <c r="D185" s="188">
        <v>2166.085</v>
      </c>
      <c r="E185" s="188">
        <v>2166.085</v>
      </c>
      <c r="F185" s="188">
        <v>0</v>
      </c>
      <c r="G185" s="188">
        <v>0</v>
      </c>
      <c r="H185"/>
      <c r="I185"/>
    </row>
    <row r="186" spans="1:9" ht="15">
      <c r="A186" s="186" t="s">
        <v>1205</v>
      </c>
      <c r="B186" s="188">
        <v>0</v>
      </c>
      <c r="C186" s="188">
        <v>0</v>
      </c>
      <c r="D186" s="188">
        <v>2714</v>
      </c>
      <c r="E186" s="188">
        <v>2714</v>
      </c>
      <c r="F186" s="188">
        <v>0</v>
      </c>
      <c r="G186" s="188">
        <v>0</v>
      </c>
      <c r="H186"/>
      <c r="I186"/>
    </row>
    <row r="187" spans="1:9" ht="15">
      <c r="A187" s="186" t="s">
        <v>1206</v>
      </c>
      <c r="B187" s="188">
        <v>0</v>
      </c>
      <c r="C187" s="188">
        <v>0</v>
      </c>
      <c r="D187" s="188">
        <v>660</v>
      </c>
      <c r="E187" s="188">
        <v>660</v>
      </c>
      <c r="F187" s="188">
        <v>0</v>
      </c>
      <c r="G187" s="188">
        <v>0</v>
      </c>
      <c r="H187"/>
      <c r="I187"/>
    </row>
    <row r="188" spans="1:9" ht="15">
      <c r="A188" s="186" t="s">
        <v>1207</v>
      </c>
      <c r="B188" s="188">
        <v>0</v>
      </c>
      <c r="C188" s="188">
        <v>0</v>
      </c>
      <c r="D188" s="188">
        <v>320</v>
      </c>
      <c r="E188" s="188">
        <v>320</v>
      </c>
      <c r="F188" s="188">
        <v>0</v>
      </c>
      <c r="G188" s="188">
        <v>0</v>
      </c>
      <c r="H188"/>
      <c r="I188"/>
    </row>
    <row r="189" spans="1:9" ht="15">
      <c r="A189" s="186" t="s">
        <v>1208</v>
      </c>
      <c r="B189" s="188">
        <v>0</v>
      </c>
      <c r="C189" s="188">
        <v>0</v>
      </c>
      <c r="D189" s="188">
        <v>9824.4500000000007</v>
      </c>
      <c r="E189" s="188">
        <v>9824.4500000000007</v>
      </c>
      <c r="F189" s="188">
        <v>0</v>
      </c>
      <c r="G189" s="188">
        <v>0</v>
      </c>
      <c r="H189"/>
      <c r="I189"/>
    </row>
    <row r="190" spans="1:9" ht="15">
      <c r="A190" s="186" t="s">
        <v>1209</v>
      </c>
      <c r="B190" s="188">
        <v>768.56875000000002</v>
      </c>
      <c r="C190" s="188">
        <v>0</v>
      </c>
      <c r="D190" s="188">
        <v>810.30852000000004</v>
      </c>
      <c r="E190" s="188">
        <v>1578.87727</v>
      </c>
      <c r="F190" s="188">
        <v>0</v>
      </c>
      <c r="G190" s="188">
        <v>0</v>
      </c>
      <c r="H190"/>
      <c r="I190"/>
    </row>
    <row r="191" spans="1:9" ht="15">
      <c r="A191" s="186" t="s">
        <v>1210</v>
      </c>
      <c r="B191" s="188">
        <v>166.1</v>
      </c>
      <c r="C191" s="188">
        <v>0</v>
      </c>
      <c r="D191" s="188">
        <v>0</v>
      </c>
      <c r="E191" s="188">
        <v>0</v>
      </c>
      <c r="F191" s="188">
        <v>166.1</v>
      </c>
      <c r="G191" s="188">
        <v>0</v>
      </c>
      <c r="H191" t="s">
        <v>2164</v>
      </c>
      <c r="I191" t="s">
        <v>2291</v>
      </c>
    </row>
    <row r="192" spans="1:9" ht="15">
      <c r="A192" s="186" t="s">
        <v>1211</v>
      </c>
      <c r="B192" s="188">
        <v>0</v>
      </c>
      <c r="C192" s="188">
        <v>0</v>
      </c>
      <c r="D192" s="188">
        <v>547.49519999999995</v>
      </c>
      <c r="E192" s="188">
        <v>547.49519999999995</v>
      </c>
      <c r="F192" s="188">
        <v>0</v>
      </c>
      <c r="G192" s="188">
        <v>0</v>
      </c>
      <c r="H192" t="s">
        <v>2305</v>
      </c>
      <c r="I192"/>
    </row>
    <row r="193" spans="1:9" ht="15">
      <c r="A193" s="186" t="s">
        <v>1212</v>
      </c>
      <c r="B193" s="188">
        <v>189.24</v>
      </c>
      <c r="C193" s="188">
        <v>0</v>
      </c>
      <c r="D193" s="188">
        <v>0</v>
      </c>
      <c r="E193" s="188">
        <v>189.24</v>
      </c>
      <c r="F193" s="188">
        <v>0</v>
      </c>
      <c r="G193" s="188">
        <v>0</v>
      </c>
      <c r="H193"/>
      <c r="I193"/>
    </row>
    <row r="194" spans="1:9" ht="15">
      <c r="A194" s="186" t="s">
        <v>1213</v>
      </c>
      <c r="B194" s="188">
        <v>0</v>
      </c>
      <c r="C194" s="188">
        <v>0</v>
      </c>
      <c r="D194" s="188">
        <v>94</v>
      </c>
      <c r="E194" s="188">
        <v>94</v>
      </c>
      <c r="F194" s="188">
        <v>0</v>
      </c>
      <c r="G194" s="188">
        <v>0</v>
      </c>
      <c r="H194"/>
      <c r="I194"/>
    </row>
    <row r="195" spans="1:9" ht="15">
      <c r="A195" s="186" t="s">
        <v>1214</v>
      </c>
      <c r="B195" s="188">
        <v>63.662999999999997</v>
      </c>
      <c r="C195" s="188">
        <v>0</v>
      </c>
      <c r="D195" s="188">
        <v>195.58099999999999</v>
      </c>
      <c r="E195" s="188">
        <v>259.24400000000003</v>
      </c>
      <c r="F195" s="188">
        <v>0</v>
      </c>
      <c r="G195" s="188">
        <v>0</v>
      </c>
      <c r="H195"/>
      <c r="I195"/>
    </row>
    <row r="196" spans="1:9" ht="15">
      <c r="A196" s="186" t="s">
        <v>1215</v>
      </c>
      <c r="B196" s="188">
        <v>300</v>
      </c>
      <c r="C196" s="188">
        <v>0</v>
      </c>
      <c r="D196" s="188">
        <v>0</v>
      </c>
      <c r="E196" s="188">
        <v>0</v>
      </c>
      <c r="F196" s="188">
        <v>300</v>
      </c>
      <c r="G196" s="188">
        <v>0</v>
      </c>
      <c r="H196" t="s">
        <v>2288</v>
      </c>
      <c r="I196" t="s">
        <v>2306</v>
      </c>
    </row>
    <row r="197" spans="1:9" ht="15">
      <c r="A197" s="186" t="s">
        <v>1216</v>
      </c>
      <c r="B197" s="188">
        <v>0</v>
      </c>
      <c r="C197" s="188">
        <v>0</v>
      </c>
      <c r="D197" s="188">
        <v>167</v>
      </c>
      <c r="E197" s="188">
        <v>167</v>
      </c>
      <c r="F197" s="188">
        <v>0</v>
      </c>
      <c r="G197" s="188">
        <v>0</v>
      </c>
      <c r="H197"/>
      <c r="I197"/>
    </row>
    <row r="198" spans="1:9" ht="15">
      <c r="A198" s="186" t="s">
        <v>1217</v>
      </c>
      <c r="B198" s="188">
        <v>0</v>
      </c>
      <c r="C198" s="188">
        <v>0</v>
      </c>
      <c r="D198" s="188">
        <v>10.71</v>
      </c>
      <c r="E198" s="188">
        <v>10.71</v>
      </c>
      <c r="F198" s="188">
        <v>0</v>
      </c>
      <c r="G198" s="188">
        <v>0</v>
      </c>
      <c r="H198"/>
      <c r="I198"/>
    </row>
    <row r="199" spans="1:9" ht="15">
      <c r="A199" s="186" t="s">
        <v>1218</v>
      </c>
      <c r="B199" s="188">
        <v>0</v>
      </c>
      <c r="C199" s="188">
        <v>0</v>
      </c>
      <c r="D199" s="188">
        <v>96</v>
      </c>
      <c r="E199" s="188">
        <v>96</v>
      </c>
      <c r="F199" s="188">
        <v>0</v>
      </c>
      <c r="G199" s="188">
        <v>0</v>
      </c>
      <c r="H199"/>
      <c r="I199"/>
    </row>
    <row r="200" spans="1:9" ht="15">
      <c r="A200" s="186" t="s">
        <v>1219</v>
      </c>
      <c r="B200" s="188">
        <v>508.73</v>
      </c>
      <c r="C200" s="188">
        <v>0</v>
      </c>
      <c r="D200" s="188">
        <v>0</v>
      </c>
      <c r="E200" s="188">
        <v>0</v>
      </c>
      <c r="F200" s="188">
        <v>508.73</v>
      </c>
      <c r="G200" s="188">
        <v>0</v>
      </c>
      <c r="H200" t="s">
        <v>2288</v>
      </c>
      <c r="I200" t="s">
        <v>2307</v>
      </c>
    </row>
    <row r="201" spans="1:9" ht="15">
      <c r="A201" s="186" t="s">
        <v>1220</v>
      </c>
      <c r="B201" s="188">
        <v>405</v>
      </c>
      <c r="C201" s="188">
        <v>0</v>
      </c>
      <c r="D201" s="188">
        <v>0</v>
      </c>
      <c r="E201" s="188">
        <v>0</v>
      </c>
      <c r="F201" s="188">
        <v>405</v>
      </c>
      <c r="G201" s="188">
        <v>0</v>
      </c>
      <c r="H201" t="s">
        <v>2283</v>
      </c>
      <c r="I201" t="s">
        <v>2308</v>
      </c>
    </row>
    <row r="202" spans="1:9" ht="15">
      <c r="A202" s="186" t="s">
        <v>1221</v>
      </c>
      <c r="B202" s="188">
        <v>0</v>
      </c>
      <c r="C202" s="188">
        <v>0</v>
      </c>
      <c r="D202" s="188">
        <v>39669.280070000001</v>
      </c>
      <c r="E202" s="188">
        <v>39669.280070000001</v>
      </c>
      <c r="F202" s="188">
        <v>0</v>
      </c>
      <c r="G202" s="188">
        <v>0</v>
      </c>
      <c r="H202"/>
      <c r="I202"/>
    </row>
    <row r="203" spans="1:9" ht="15">
      <c r="A203" s="186" t="s">
        <v>1222</v>
      </c>
      <c r="B203" s="188">
        <v>0</v>
      </c>
      <c r="C203" s="188">
        <v>0</v>
      </c>
      <c r="D203" s="188">
        <v>62262.473119999995</v>
      </c>
      <c r="E203" s="188">
        <v>62262.473119999995</v>
      </c>
      <c r="F203" s="188">
        <v>0</v>
      </c>
      <c r="G203" s="188">
        <v>0</v>
      </c>
      <c r="H203"/>
      <c r="I203"/>
    </row>
    <row r="204" spans="1:9" ht="15">
      <c r="A204" s="186" t="s">
        <v>1223</v>
      </c>
      <c r="B204" s="188">
        <v>0</v>
      </c>
      <c r="C204" s="188">
        <v>0</v>
      </c>
      <c r="D204" s="188">
        <v>119.7</v>
      </c>
      <c r="E204" s="188">
        <v>119.7</v>
      </c>
      <c r="F204" s="188">
        <v>0</v>
      </c>
      <c r="G204" s="188">
        <v>0</v>
      </c>
      <c r="H204"/>
      <c r="I204"/>
    </row>
    <row r="205" spans="1:9" ht="15">
      <c r="A205" s="186" t="s">
        <v>1224</v>
      </c>
      <c r="B205" s="188">
        <v>0</v>
      </c>
      <c r="C205" s="188">
        <v>0</v>
      </c>
      <c r="D205" s="188">
        <v>115.2</v>
      </c>
      <c r="E205" s="188">
        <v>115.2</v>
      </c>
      <c r="F205" s="188">
        <v>0</v>
      </c>
      <c r="G205" s="188">
        <v>0</v>
      </c>
      <c r="H205"/>
      <c r="I205"/>
    </row>
    <row r="206" spans="1:9" ht="15">
      <c r="A206" s="186" t="s">
        <v>1225</v>
      </c>
      <c r="B206" s="188">
        <v>0</v>
      </c>
      <c r="C206" s="188">
        <v>0</v>
      </c>
      <c r="D206" s="188">
        <v>5498.46</v>
      </c>
      <c r="E206" s="188">
        <v>5498.46</v>
      </c>
      <c r="F206" s="188">
        <v>0</v>
      </c>
      <c r="G206" s="188">
        <v>0</v>
      </c>
      <c r="H206"/>
      <c r="I206"/>
    </row>
    <row r="207" spans="1:9" ht="15">
      <c r="A207" s="186" t="s">
        <v>1226</v>
      </c>
      <c r="B207" s="188">
        <v>0</v>
      </c>
      <c r="C207" s="188">
        <v>0</v>
      </c>
      <c r="D207" s="188">
        <v>76</v>
      </c>
      <c r="E207" s="188">
        <v>76</v>
      </c>
      <c r="F207" s="188">
        <v>0</v>
      </c>
      <c r="G207" s="188">
        <v>0</v>
      </c>
      <c r="H207"/>
      <c r="I207"/>
    </row>
    <row r="208" spans="1:9" ht="15">
      <c r="A208" s="186" t="s">
        <v>1227</v>
      </c>
      <c r="B208" s="188">
        <v>0</v>
      </c>
      <c r="C208" s="188">
        <v>0</v>
      </c>
      <c r="D208" s="188">
        <v>50404.779399999999</v>
      </c>
      <c r="E208" s="188">
        <v>50404.779399999999</v>
      </c>
      <c r="F208" s="188">
        <v>0</v>
      </c>
      <c r="G208" s="188">
        <v>0</v>
      </c>
      <c r="H208"/>
      <c r="I208"/>
    </row>
    <row r="209" spans="1:9" ht="15">
      <c r="A209" s="186" t="s">
        <v>1228</v>
      </c>
      <c r="B209" s="188">
        <v>0</v>
      </c>
      <c r="C209" s="188">
        <v>0</v>
      </c>
      <c r="D209" s="188">
        <v>191.4</v>
      </c>
      <c r="E209" s="188">
        <v>191.4</v>
      </c>
      <c r="F209" s="188">
        <v>0</v>
      </c>
      <c r="G209" s="188">
        <v>0</v>
      </c>
      <c r="H209"/>
      <c r="I209"/>
    </row>
    <row r="210" spans="1:9" ht="15">
      <c r="A210" s="186" t="s">
        <v>1229</v>
      </c>
      <c r="B210" s="188">
        <v>0</v>
      </c>
      <c r="C210" s="188">
        <v>0</v>
      </c>
      <c r="D210" s="188">
        <v>7428.3090000000002</v>
      </c>
      <c r="E210" s="188">
        <v>7428.3090000000002</v>
      </c>
      <c r="F210" s="188">
        <v>0</v>
      </c>
      <c r="G210" s="188">
        <v>0</v>
      </c>
      <c r="H210"/>
      <c r="I210"/>
    </row>
    <row r="211" spans="1:9" ht="15">
      <c r="A211" s="186" t="s">
        <v>1230</v>
      </c>
      <c r="B211" s="188">
        <v>0</v>
      </c>
      <c r="C211" s="188">
        <v>0</v>
      </c>
      <c r="D211" s="188">
        <v>29.5</v>
      </c>
      <c r="E211" s="188">
        <v>29.5</v>
      </c>
      <c r="F211" s="188">
        <v>0</v>
      </c>
      <c r="G211" s="188">
        <v>0</v>
      </c>
      <c r="H211"/>
      <c r="I211"/>
    </row>
    <row r="212" spans="1:9" ht="15">
      <c r="A212" s="186" t="s">
        <v>1231</v>
      </c>
      <c r="B212" s="188">
        <v>2937.16752</v>
      </c>
      <c r="C212" s="188">
        <v>0</v>
      </c>
      <c r="D212" s="188">
        <v>0</v>
      </c>
      <c r="E212" s="188">
        <v>0</v>
      </c>
      <c r="F212" s="188">
        <v>2937.16752</v>
      </c>
      <c r="G212" s="188">
        <v>0</v>
      </c>
      <c r="H212" t="s">
        <v>2283</v>
      </c>
      <c r="I212" t="s">
        <v>2309</v>
      </c>
    </row>
    <row r="213" spans="1:9" ht="15">
      <c r="A213" s="186" t="s">
        <v>1232</v>
      </c>
      <c r="B213" s="188">
        <v>0</v>
      </c>
      <c r="C213" s="188">
        <v>0</v>
      </c>
      <c r="D213" s="188">
        <v>9411.67</v>
      </c>
      <c r="E213" s="188">
        <v>9411.67</v>
      </c>
      <c r="F213" s="188">
        <v>0</v>
      </c>
      <c r="G213" s="188">
        <v>0</v>
      </c>
      <c r="H213"/>
      <c r="I213"/>
    </row>
    <row r="214" spans="1:9" ht="15">
      <c r="A214" s="186" t="s">
        <v>1233</v>
      </c>
      <c r="B214" s="188">
        <v>0</v>
      </c>
      <c r="C214" s="188">
        <v>0</v>
      </c>
      <c r="D214" s="188">
        <v>1120</v>
      </c>
      <c r="E214" s="188">
        <v>1120</v>
      </c>
      <c r="F214" s="188">
        <v>0</v>
      </c>
      <c r="G214" s="188">
        <v>0</v>
      </c>
      <c r="H214"/>
      <c r="I214"/>
    </row>
    <row r="215" spans="1:9" ht="15">
      <c r="A215" s="186" t="s">
        <v>1234</v>
      </c>
      <c r="B215" s="188">
        <v>0</v>
      </c>
      <c r="C215" s="188">
        <v>0</v>
      </c>
      <c r="D215" s="188">
        <v>80677.62</v>
      </c>
      <c r="E215" s="188">
        <v>80677.62</v>
      </c>
      <c r="F215" s="188">
        <v>0</v>
      </c>
      <c r="G215" s="188">
        <v>0</v>
      </c>
      <c r="H215"/>
      <c r="I215"/>
    </row>
    <row r="216" spans="1:9" ht="15">
      <c r="A216" s="186" t="s">
        <v>1235</v>
      </c>
      <c r="B216" s="188">
        <v>578.1</v>
      </c>
      <c r="C216" s="188">
        <v>0</v>
      </c>
      <c r="D216" s="188">
        <v>0</v>
      </c>
      <c r="E216" s="188">
        <v>0</v>
      </c>
      <c r="F216" s="188">
        <v>578.1</v>
      </c>
      <c r="G216" s="188">
        <v>0</v>
      </c>
      <c r="H216" t="s">
        <v>2288</v>
      </c>
      <c r="I216" t="s">
        <v>2310</v>
      </c>
    </row>
    <row r="217" spans="1:9" ht="15">
      <c r="A217" s="186" t="s">
        <v>1236</v>
      </c>
      <c r="B217" s="188">
        <v>0</v>
      </c>
      <c r="C217" s="188">
        <v>0</v>
      </c>
      <c r="D217" s="188">
        <v>224.6</v>
      </c>
      <c r="E217" s="188">
        <v>224.6</v>
      </c>
      <c r="F217" s="188">
        <v>0</v>
      </c>
      <c r="G217" s="188">
        <v>0</v>
      </c>
      <c r="H217"/>
      <c r="I217"/>
    </row>
    <row r="218" spans="1:9" ht="15">
      <c r="A218" s="186" t="s">
        <v>1237</v>
      </c>
      <c r="B218" s="188">
        <v>0</v>
      </c>
      <c r="C218" s="188">
        <v>0</v>
      </c>
      <c r="D218" s="188">
        <v>42.4</v>
      </c>
      <c r="E218" s="188">
        <v>42.4</v>
      </c>
      <c r="F218" s="188">
        <v>0</v>
      </c>
      <c r="G218" s="188">
        <v>0</v>
      </c>
      <c r="H218"/>
      <c r="I218"/>
    </row>
    <row r="219" spans="1:9" ht="15">
      <c r="A219" s="186" t="s">
        <v>1238</v>
      </c>
      <c r="B219" s="188">
        <v>0</v>
      </c>
      <c r="C219" s="188">
        <v>0</v>
      </c>
      <c r="D219" s="188">
        <v>7500</v>
      </c>
      <c r="E219" s="188">
        <v>7500</v>
      </c>
      <c r="F219" s="188">
        <v>0</v>
      </c>
      <c r="G219" s="188">
        <v>0</v>
      </c>
      <c r="H219"/>
      <c r="I219"/>
    </row>
    <row r="220" spans="1:9" ht="15">
      <c r="A220" s="186" t="s">
        <v>1239</v>
      </c>
      <c r="B220" s="188">
        <v>0</v>
      </c>
      <c r="C220" s="188">
        <v>0</v>
      </c>
      <c r="D220" s="188">
        <v>18.776</v>
      </c>
      <c r="E220" s="188">
        <v>18.776</v>
      </c>
      <c r="F220" s="188">
        <v>0</v>
      </c>
      <c r="G220" s="188">
        <v>0</v>
      </c>
      <c r="H220"/>
      <c r="I220"/>
    </row>
    <row r="221" spans="1:9" ht="15">
      <c r="A221" s="186" t="s">
        <v>1240</v>
      </c>
      <c r="B221" s="188">
        <v>0</v>
      </c>
      <c r="C221" s="188">
        <v>0</v>
      </c>
      <c r="D221" s="188">
        <v>9</v>
      </c>
      <c r="E221" s="188">
        <v>9</v>
      </c>
      <c r="F221" s="188">
        <v>0</v>
      </c>
      <c r="G221" s="188">
        <v>0</v>
      </c>
      <c r="H221"/>
      <c r="I221"/>
    </row>
    <row r="222" spans="1:9" ht="15">
      <c r="A222" s="186" t="s">
        <v>1241</v>
      </c>
      <c r="B222" s="188">
        <v>0</v>
      </c>
      <c r="C222" s="188">
        <v>0</v>
      </c>
      <c r="D222" s="188">
        <v>520.5</v>
      </c>
      <c r="E222" s="188">
        <v>520.5</v>
      </c>
      <c r="F222" s="188">
        <v>0</v>
      </c>
      <c r="G222" s="188">
        <v>0</v>
      </c>
      <c r="H222"/>
      <c r="I222"/>
    </row>
    <row r="223" spans="1:9" ht="15">
      <c r="A223" s="186" t="s">
        <v>1242</v>
      </c>
      <c r="B223" s="188">
        <v>0</v>
      </c>
      <c r="C223" s="188">
        <v>0</v>
      </c>
      <c r="D223" s="188">
        <v>505.6</v>
      </c>
      <c r="E223" s="188">
        <v>430</v>
      </c>
      <c r="F223" s="188">
        <v>75.599999999999994</v>
      </c>
      <c r="G223" s="188">
        <v>0</v>
      </c>
      <c r="H223" t="s">
        <v>2164</v>
      </c>
      <c r="I223" t="s">
        <v>2311</v>
      </c>
    </row>
    <row r="224" spans="1:9" ht="15">
      <c r="A224" s="186" t="s">
        <v>1243</v>
      </c>
      <c r="B224" s="188">
        <v>0</v>
      </c>
      <c r="C224" s="188">
        <v>0</v>
      </c>
      <c r="D224" s="188">
        <v>206.8</v>
      </c>
      <c r="E224" s="188">
        <v>206.8</v>
      </c>
      <c r="F224" s="188">
        <v>0</v>
      </c>
      <c r="G224" s="188">
        <v>0</v>
      </c>
      <c r="H224"/>
      <c r="I224"/>
    </row>
    <row r="225" spans="1:9" ht="15">
      <c r="A225" s="186" t="s">
        <v>1244</v>
      </c>
      <c r="B225" s="188">
        <v>0</v>
      </c>
      <c r="C225" s="188">
        <v>0</v>
      </c>
      <c r="D225" s="188">
        <v>340.5</v>
      </c>
      <c r="E225" s="188">
        <v>340.5</v>
      </c>
      <c r="F225" s="188">
        <v>0</v>
      </c>
      <c r="G225" s="188">
        <v>0</v>
      </c>
      <c r="H225"/>
      <c r="I225"/>
    </row>
    <row r="226" spans="1:9" ht="15">
      <c r="A226" s="186" t="s">
        <v>1245</v>
      </c>
      <c r="B226" s="188">
        <v>3.0000000000000001E-3</v>
      </c>
      <c r="C226" s="188">
        <v>0</v>
      </c>
      <c r="D226" s="188">
        <v>1774.6236000000001</v>
      </c>
      <c r="E226" s="188">
        <v>1774.6236000000001</v>
      </c>
      <c r="F226" s="188">
        <v>3.0000000000000001E-3</v>
      </c>
      <c r="G226" s="188">
        <v>0</v>
      </c>
      <c r="H226"/>
      <c r="I226"/>
    </row>
    <row r="227" spans="1:9" ht="15">
      <c r="A227" s="186" t="s">
        <v>1246</v>
      </c>
      <c r="B227" s="188">
        <v>100.00449999999999</v>
      </c>
      <c r="C227" s="188">
        <v>0</v>
      </c>
      <c r="D227" s="188">
        <v>0</v>
      </c>
      <c r="E227" s="188">
        <v>0</v>
      </c>
      <c r="F227" s="188">
        <v>100.00449999999999</v>
      </c>
      <c r="G227" s="188">
        <v>0</v>
      </c>
      <c r="H227" t="s">
        <v>2288</v>
      </c>
      <c r="I227" t="s">
        <v>2312</v>
      </c>
    </row>
    <row r="228" spans="1:9" ht="15">
      <c r="A228" s="186" t="s">
        <v>1247</v>
      </c>
      <c r="B228" s="188">
        <v>0</v>
      </c>
      <c r="C228" s="188">
        <v>0</v>
      </c>
      <c r="D228" s="188">
        <v>188.5</v>
      </c>
      <c r="E228" s="188">
        <v>188.5</v>
      </c>
      <c r="F228" s="188">
        <v>0</v>
      </c>
      <c r="G228" s="188">
        <v>0</v>
      </c>
      <c r="H228"/>
      <c r="I228"/>
    </row>
    <row r="229" spans="1:9" ht="15">
      <c r="A229" s="186" t="s">
        <v>1248</v>
      </c>
      <c r="B229" s="188">
        <v>77170.8</v>
      </c>
      <c r="C229" s="188">
        <v>0</v>
      </c>
      <c r="D229" s="188">
        <v>348757.8</v>
      </c>
      <c r="E229" s="188">
        <v>391527.8</v>
      </c>
      <c r="F229" s="188">
        <v>34400.800000000003</v>
      </c>
      <c r="G229" s="188">
        <v>0</v>
      </c>
      <c r="H229" t="s">
        <v>2288</v>
      </c>
      <c r="I229" t="s">
        <v>2313</v>
      </c>
    </row>
    <row r="230" spans="1:9" ht="15">
      <c r="A230" s="186" t="s">
        <v>1249</v>
      </c>
      <c r="B230" s="188">
        <v>60</v>
      </c>
      <c r="C230" s="188">
        <v>0</v>
      </c>
      <c r="D230" s="188">
        <v>0</v>
      </c>
      <c r="E230" s="188">
        <v>0</v>
      </c>
      <c r="F230" s="188">
        <v>60</v>
      </c>
      <c r="G230" s="188">
        <v>0</v>
      </c>
      <c r="H230" t="s">
        <v>2288</v>
      </c>
      <c r="I230" t="s">
        <v>2314</v>
      </c>
    </row>
    <row r="231" spans="1:9" ht="15">
      <c r="A231" s="186" t="s">
        <v>1250</v>
      </c>
      <c r="B231" s="188">
        <v>0</v>
      </c>
      <c r="C231" s="188">
        <v>0</v>
      </c>
      <c r="D231" s="188">
        <v>1391.7247500000001</v>
      </c>
      <c r="E231" s="188">
        <v>1391.7247500000001</v>
      </c>
      <c r="F231" s="188">
        <v>0</v>
      </c>
      <c r="G231" s="188">
        <v>0</v>
      </c>
      <c r="H231"/>
      <c r="I231"/>
    </row>
    <row r="232" spans="1:9" ht="15">
      <c r="A232" s="186" t="s">
        <v>1251</v>
      </c>
      <c r="B232" s="188">
        <v>0</v>
      </c>
      <c r="C232" s="188">
        <v>0</v>
      </c>
      <c r="D232" s="188">
        <v>248468.96958999999</v>
      </c>
      <c r="E232" s="188">
        <v>248468.96958999999</v>
      </c>
      <c r="F232" s="188">
        <v>0</v>
      </c>
      <c r="G232" s="188">
        <v>0</v>
      </c>
      <c r="H232"/>
      <c r="I232"/>
    </row>
    <row r="233" spans="1:9" ht="15">
      <c r="A233" s="186" t="s">
        <v>1252</v>
      </c>
      <c r="B233" s="188">
        <v>0</v>
      </c>
      <c r="C233" s="188">
        <v>0</v>
      </c>
      <c r="D233" s="188">
        <v>17.8</v>
      </c>
      <c r="E233" s="188">
        <v>17.8</v>
      </c>
      <c r="F233" s="188">
        <v>0</v>
      </c>
      <c r="G233" s="188">
        <v>0</v>
      </c>
      <c r="H233"/>
      <c r="I233"/>
    </row>
    <row r="234" spans="1:9" ht="15">
      <c r="A234" s="186" t="s">
        <v>1253</v>
      </c>
      <c r="B234" s="188">
        <v>0</v>
      </c>
      <c r="C234" s="188">
        <v>0</v>
      </c>
      <c r="D234" s="188">
        <v>412</v>
      </c>
      <c r="E234" s="188">
        <v>412</v>
      </c>
      <c r="F234" s="188">
        <v>0</v>
      </c>
      <c r="G234" s="188">
        <v>0</v>
      </c>
      <c r="H234"/>
      <c r="I234"/>
    </row>
    <row r="235" spans="1:9" ht="15">
      <c r="A235" s="186" t="s">
        <v>1254</v>
      </c>
      <c r="B235" s="188">
        <v>0</v>
      </c>
      <c r="C235" s="188">
        <v>0</v>
      </c>
      <c r="D235" s="188">
        <v>318</v>
      </c>
      <c r="E235" s="188">
        <v>318</v>
      </c>
      <c r="F235" s="188">
        <v>0</v>
      </c>
      <c r="G235" s="188">
        <v>0</v>
      </c>
      <c r="H235"/>
      <c r="I235"/>
    </row>
    <row r="236" spans="1:9" ht="15">
      <c r="A236" s="186" t="s">
        <v>1255</v>
      </c>
      <c r="B236" s="188">
        <v>0</v>
      </c>
      <c r="C236" s="188">
        <v>0</v>
      </c>
      <c r="D236" s="188">
        <v>536.75</v>
      </c>
      <c r="E236" s="188">
        <v>536.75</v>
      </c>
      <c r="F236" s="188">
        <v>0</v>
      </c>
      <c r="G236" s="188">
        <v>0</v>
      </c>
      <c r="H236"/>
      <c r="I236"/>
    </row>
    <row r="237" spans="1:9" ht="15">
      <c r="A237" s="186" t="s">
        <v>1256</v>
      </c>
      <c r="B237" s="188">
        <v>0</v>
      </c>
      <c r="C237" s="188">
        <v>0</v>
      </c>
      <c r="D237" s="188">
        <v>960.84199999999998</v>
      </c>
      <c r="E237" s="188">
        <v>960.84199999999998</v>
      </c>
      <c r="F237" s="188">
        <v>0</v>
      </c>
      <c r="G237" s="188">
        <v>0</v>
      </c>
      <c r="H237"/>
      <c r="I237"/>
    </row>
    <row r="238" spans="1:9" ht="15">
      <c r="A238" s="186" t="s">
        <v>1257</v>
      </c>
      <c r="B238" s="188">
        <v>0</v>
      </c>
      <c r="C238" s="188">
        <v>0</v>
      </c>
      <c r="D238" s="188">
        <v>28180.569</v>
      </c>
      <c r="E238" s="188">
        <v>28180.569</v>
      </c>
      <c r="F238" s="188">
        <v>0</v>
      </c>
      <c r="G238" s="188">
        <v>0</v>
      </c>
      <c r="H238"/>
      <c r="I238"/>
    </row>
    <row r="239" spans="1:9" ht="15">
      <c r="A239" s="186" t="s">
        <v>1258</v>
      </c>
      <c r="B239" s="188">
        <v>64</v>
      </c>
      <c r="C239" s="188">
        <v>0</v>
      </c>
      <c r="D239" s="188">
        <v>0</v>
      </c>
      <c r="E239" s="188">
        <v>0</v>
      </c>
      <c r="F239" s="188">
        <v>64</v>
      </c>
      <c r="G239" s="188">
        <v>0</v>
      </c>
      <c r="H239" t="s">
        <v>2288</v>
      </c>
      <c r="I239" t="s">
        <v>2315</v>
      </c>
    </row>
    <row r="240" spans="1:9" ht="15">
      <c r="A240" s="186" t="s">
        <v>1259</v>
      </c>
      <c r="B240" s="188">
        <v>275.80500000000001</v>
      </c>
      <c r="C240" s="188">
        <v>0</v>
      </c>
      <c r="D240" s="188">
        <v>25244.806940000002</v>
      </c>
      <c r="E240" s="188">
        <v>25382.627940000002</v>
      </c>
      <c r="F240" s="188">
        <v>137.98400000000001</v>
      </c>
      <c r="G240" s="188">
        <v>0</v>
      </c>
      <c r="H240" t="s">
        <v>2164</v>
      </c>
      <c r="I240" t="s">
        <v>2316</v>
      </c>
    </row>
    <row r="241" spans="1:9" ht="15">
      <c r="A241" s="186" t="s">
        <v>1260</v>
      </c>
      <c r="B241" s="188">
        <v>0</v>
      </c>
      <c r="C241" s="188">
        <v>0</v>
      </c>
      <c r="D241" s="188">
        <v>34155</v>
      </c>
      <c r="E241" s="188">
        <v>33631.29</v>
      </c>
      <c r="F241" s="188">
        <v>523.71</v>
      </c>
      <c r="G241" s="188">
        <v>0</v>
      </c>
      <c r="H241" t="s">
        <v>2288</v>
      </c>
      <c r="I241" t="s">
        <v>2312</v>
      </c>
    </row>
    <row r="242" spans="1:9" ht="15">
      <c r="A242" s="186" t="s">
        <v>1261</v>
      </c>
      <c r="B242" s="188">
        <v>0</v>
      </c>
      <c r="C242" s="188">
        <v>0</v>
      </c>
      <c r="D242" s="188">
        <v>33857.181880000004</v>
      </c>
      <c r="E242" s="188">
        <v>33857.181880000004</v>
      </c>
      <c r="F242" s="188">
        <v>0</v>
      </c>
      <c r="G242" s="188">
        <v>0</v>
      </c>
      <c r="H242"/>
      <c r="I242"/>
    </row>
    <row r="243" spans="1:9" ht="15">
      <c r="A243" s="186" t="s">
        <v>1262</v>
      </c>
      <c r="B243" s="188">
        <v>0</v>
      </c>
      <c r="C243" s="188">
        <v>0</v>
      </c>
      <c r="D243" s="188">
        <v>253552.72146</v>
      </c>
      <c r="E243" s="188">
        <v>253552.72146</v>
      </c>
      <c r="F243" s="188">
        <v>0</v>
      </c>
      <c r="G243" s="188">
        <v>0</v>
      </c>
      <c r="H243"/>
      <c r="I243"/>
    </row>
    <row r="244" spans="1:9" ht="15">
      <c r="A244" s="186" t="s">
        <v>1263</v>
      </c>
      <c r="B244" s="188">
        <v>70</v>
      </c>
      <c r="C244" s="188">
        <v>0</v>
      </c>
      <c r="D244" s="188">
        <v>0</v>
      </c>
      <c r="E244" s="188">
        <v>0</v>
      </c>
      <c r="F244" s="188">
        <v>70</v>
      </c>
      <c r="G244" s="188">
        <v>0</v>
      </c>
      <c r="H244" t="s">
        <v>2288</v>
      </c>
      <c r="I244" t="s">
        <v>2317</v>
      </c>
    </row>
    <row r="245" spans="1:9" ht="15">
      <c r="A245" s="186" t="s">
        <v>1264</v>
      </c>
      <c r="B245" s="188">
        <v>0</v>
      </c>
      <c r="C245" s="188">
        <v>0</v>
      </c>
      <c r="D245" s="188">
        <v>745.84299999999996</v>
      </c>
      <c r="E245" s="188">
        <v>0</v>
      </c>
      <c r="F245" s="188">
        <v>745.84299999999996</v>
      </c>
      <c r="G245" s="188">
        <v>0</v>
      </c>
      <c r="H245" t="s">
        <v>2164</v>
      </c>
      <c r="I245" t="s">
        <v>2318</v>
      </c>
    </row>
    <row r="246" spans="1:9" ht="15">
      <c r="A246" s="186" t="s">
        <v>1265</v>
      </c>
      <c r="B246" s="188">
        <v>0</v>
      </c>
      <c r="C246" s="188">
        <v>0</v>
      </c>
      <c r="D246" s="188">
        <v>1257.45</v>
      </c>
      <c r="E246" s="188">
        <v>1257.45</v>
      </c>
      <c r="F246" s="188">
        <v>0</v>
      </c>
      <c r="G246" s="188">
        <v>0</v>
      </c>
      <c r="H246"/>
      <c r="I246"/>
    </row>
    <row r="247" spans="1:9" ht="15">
      <c r="A247" s="186" t="s">
        <v>1266</v>
      </c>
      <c r="B247" s="188">
        <v>1.6</v>
      </c>
      <c r="C247" s="188">
        <v>0</v>
      </c>
      <c r="D247" s="188">
        <v>0</v>
      </c>
      <c r="E247" s="188">
        <v>0</v>
      </c>
      <c r="F247" s="188">
        <v>1.6</v>
      </c>
      <c r="G247" s="188">
        <v>0</v>
      </c>
      <c r="H247" t="s">
        <v>2288</v>
      </c>
      <c r="I247" t="s">
        <v>2319</v>
      </c>
    </row>
    <row r="248" spans="1:9" ht="15">
      <c r="A248" s="186" t="s">
        <v>1267</v>
      </c>
      <c r="B248" s="188">
        <v>0</v>
      </c>
      <c r="C248" s="188">
        <v>0</v>
      </c>
      <c r="D248" s="188">
        <v>185</v>
      </c>
      <c r="E248" s="188">
        <v>0</v>
      </c>
      <c r="F248" s="188">
        <v>185</v>
      </c>
      <c r="G248" s="188">
        <v>0</v>
      </c>
      <c r="H248" t="s">
        <v>2164</v>
      </c>
      <c r="I248" t="s">
        <v>2320</v>
      </c>
    </row>
    <row r="249" spans="1:9" ht="15">
      <c r="A249" s="186" t="s">
        <v>1268</v>
      </c>
      <c r="B249" s="188">
        <v>0</v>
      </c>
      <c r="C249" s="188">
        <v>0</v>
      </c>
      <c r="D249" s="188">
        <v>3481.395</v>
      </c>
      <c r="E249" s="188">
        <v>3167.8249999999998</v>
      </c>
      <c r="F249" s="188">
        <v>313.57</v>
      </c>
      <c r="G249" s="188">
        <v>0</v>
      </c>
      <c r="H249" t="s">
        <v>2288</v>
      </c>
      <c r="I249" t="s">
        <v>2321</v>
      </c>
    </row>
    <row r="250" spans="1:9" ht="15">
      <c r="A250" s="186" t="s">
        <v>1269</v>
      </c>
      <c r="B250" s="188">
        <v>0</v>
      </c>
      <c r="C250" s="188">
        <v>0</v>
      </c>
      <c r="D250" s="188">
        <v>27</v>
      </c>
      <c r="E250" s="188">
        <v>27</v>
      </c>
      <c r="F250" s="188">
        <v>0</v>
      </c>
      <c r="G250" s="188">
        <v>0</v>
      </c>
      <c r="H250"/>
      <c r="I250"/>
    </row>
    <row r="251" spans="1:9" ht="15">
      <c r="A251" s="186" t="s">
        <v>1270</v>
      </c>
      <c r="B251" s="188">
        <v>93.5</v>
      </c>
      <c r="C251" s="188">
        <v>0</v>
      </c>
      <c r="D251" s="188">
        <v>0</v>
      </c>
      <c r="E251" s="188">
        <v>0</v>
      </c>
      <c r="F251" s="188">
        <v>93.5</v>
      </c>
      <c r="G251" s="188">
        <v>0</v>
      </c>
      <c r="H251" t="s">
        <v>2288</v>
      </c>
      <c r="I251"/>
    </row>
    <row r="252" spans="1:9" ht="15">
      <c r="A252" s="186" t="s">
        <v>1271</v>
      </c>
      <c r="B252" s="188">
        <v>591</v>
      </c>
      <c r="C252" s="188">
        <v>0</v>
      </c>
      <c r="D252" s="188">
        <v>3758.5</v>
      </c>
      <c r="E252" s="188">
        <v>3562</v>
      </c>
      <c r="F252" s="188">
        <v>787.5</v>
      </c>
      <c r="G252" s="188">
        <v>0</v>
      </c>
      <c r="H252" t="s">
        <v>2283</v>
      </c>
      <c r="I252" t="s">
        <v>2322</v>
      </c>
    </row>
    <row r="253" spans="1:9" ht="15">
      <c r="A253" s="186" t="s">
        <v>1272</v>
      </c>
      <c r="B253" s="188">
        <v>0</v>
      </c>
      <c r="C253" s="188">
        <v>0</v>
      </c>
      <c r="D253" s="188">
        <v>8749</v>
      </c>
      <c r="E253" s="188">
        <v>8749</v>
      </c>
      <c r="F253" s="188">
        <v>0</v>
      </c>
      <c r="G253" s="188">
        <v>0</v>
      </c>
      <c r="H253"/>
      <c r="I253"/>
    </row>
    <row r="254" spans="1:9" ht="15">
      <c r="A254" s="186" t="s">
        <v>1273</v>
      </c>
      <c r="B254" s="188">
        <v>0</v>
      </c>
      <c r="C254" s="188">
        <v>0</v>
      </c>
      <c r="D254" s="188">
        <v>331.8</v>
      </c>
      <c r="E254" s="188">
        <v>331.8</v>
      </c>
      <c r="F254" s="188">
        <v>0</v>
      </c>
      <c r="G254" s="188">
        <v>0</v>
      </c>
      <c r="H254"/>
      <c r="I254"/>
    </row>
    <row r="255" spans="1:9" ht="15">
      <c r="A255" s="186" t="s">
        <v>1274</v>
      </c>
      <c r="B255" s="188">
        <v>295.02499999999998</v>
      </c>
      <c r="C255" s="188">
        <v>0</v>
      </c>
      <c r="D255" s="188">
        <v>0</v>
      </c>
      <c r="E255" s="188">
        <v>0</v>
      </c>
      <c r="F255" s="188">
        <v>295.02499999999998</v>
      </c>
      <c r="G255" s="188">
        <v>0</v>
      </c>
      <c r="H255" t="s">
        <v>2284</v>
      </c>
      <c r="I255" t="s">
        <v>2323</v>
      </c>
    </row>
    <row r="256" spans="1:9" ht="15">
      <c r="A256" s="186" t="s">
        <v>1275</v>
      </c>
      <c r="B256" s="188">
        <v>14.5</v>
      </c>
      <c r="C256" s="188">
        <v>0</v>
      </c>
      <c r="D256" s="188">
        <v>0</v>
      </c>
      <c r="E256" s="188">
        <v>0</v>
      </c>
      <c r="F256" s="188">
        <v>14.5</v>
      </c>
      <c r="G256" s="188">
        <v>0</v>
      </c>
      <c r="H256" t="s">
        <v>2288</v>
      </c>
      <c r="I256" t="s">
        <v>2324</v>
      </c>
    </row>
    <row r="257" spans="1:9" ht="15">
      <c r="A257" s="186" t="s">
        <v>1276</v>
      </c>
      <c r="B257" s="188">
        <v>143.17207000000002</v>
      </c>
      <c r="C257" s="188">
        <v>0</v>
      </c>
      <c r="D257" s="188">
        <v>0</v>
      </c>
      <c r="E257" s="188">
        <v>0</v>
      </c>
      <c r="F257" s="188">
        <v>143.17207000000002</v>
      </c>
      <c r="G257" s="188">
        <v>0</v>
      </c>
      <c r="H257" t="s">
        <v>2288</v>
      </c>
      <c r="I257" t="s">
        <v>2325</v>
      </c>
    </row>
    <row r="258" spans="1:9" ht="15">
      <c r="A258" s="186" t="s">
        <v>1277</v>
      </c>
      <c r="B258" s="188">
        <v>0</v>
      </c>
      <c r="C258" s="188">
        <v>0</v>
      </c>
      <c r="D258" s="188">
        <v>1777.1959999999999</v>
      </c>
      <c r="E258" s="188">
        <v>710.51199999999994</v>
      </c>
      <c r="F258" s="197">
        <v>1066.684</v>
      </c>
      <c r="G258" s="188">
        <v>0</v>
      </c>
      <c r="H258" s="226" t="s">
        <v>2288</v>
      </c>
      <c r="I258" t="s">
        <v>2326</v>
      </c>
    </row>
    <row r="259" spans="1:9" ht="15">
      <c r="A259" s="186" t="s">
        <v>832</v>
      </c>
      <c r="B259" s="188">
        <v>1100</v>
      </c>
      <c r="C259" s="188">
        <v>0</v>
      </c>
      <c r="D259" s="188">
        <v>0</v>
      </c>
      <c r="E259" s="188">
        <v>1100</v>
      </c>
      <c r="F259" s="188">
        <v>0</v>
      </c>
      <c r="G259" s="188">
        <v>0</v>
      </c>
      <c r="H259"/>
      <c r="I259"/>
    </row>
    <row r="260" spans="1:9" ht="15">
      <c r="A260" s="186" t="s">
        <v>1278</v>
      </c>
      <c r="B260" s="188">
        <v>0.50019000000000002</v>
      </c>
      <c r="C260" s="188">
        <v>0</v>
      </c>
      <c r="D260" s="188">
        <v>817.98050000000001</v>
      </c>
      <c r="E260" s="188">
        <v>817.98068999999998</v>
      </c>
      <c r="F260" s="188">
        <v>0.5</v>
      </c>
      <c r="G260" s="188">
        <v>0</v>
      </c>
      <c r="H260" t="s">
        <v>2164</v>
      </c>
      <c r="I260" t="s">
        <v>2327</v>
      </c>
    </row>
    <row r="261" spans="1:9" ht="15">
      <c r="A261" s="186" t="s">
        <v>1279</v>
      </c>
      <c r="B261" s="188">
        <v>19242.02995</v>
      </c>
      <c r="C261" s="188">
        <v>0</v>
      </c>
      <c r="D261" s="188">
        <v>34935.245310000006</v>
      </c>
      <c r="E261" s="188">
        <v>54177.275259999995</v>
      </c>
      <c r="F261" s="188">
        <v>0</v>
      </c>
      <c r="G261" s="188">
        <v>0</v>
      </c>
      <c r="H261"/>
      <c r="I261"/>
    </row>
    <row r="262" spans="1:9" ht="15">
      <c r="A262" s="186" t="s">
        <v>1280</v>
      </c>
      <c r="B262" s="188">
        <v>0</v>
      </c>
      <c r="C262" s="188">
        <v>0</v>
      </c>
      <c r="D262" s="188">
        <v>45552.652020000001</v>
      </c>
      <c r="E262" s="188">
        <v>45552.652020000001</v>
      </c>
      <c r="F262" s="188">
        <v>0</v>
      </c>
      <c r="G262" s="188">
        <v>0</v>
      </c>
      <c r="H262"/>
      <c r="I262"/>
    </row>
    <row r="263" spans="1:9" ht="15">
      <c r="A263" s="186" t="s">
        <v>1281</v>
      </c>
      <c r="B263" s="188">
        <v>0</v>
      </c>
      <c r="C263" s="188">
        <v>0</v>
      </c>
      <c r="D263" s="188">
        <v>8.4</v>
      </c>
      <c r="E263" s="188">
        <v>8.4</v>
      </c>
      <c r="F263" s="188">
        <v>0</v>
      </c>
      <c r="G263" s="188">
        <v>0</v>
      </c>
      <c r="H263"/>
      <c r="I263"/>
    </row>
    <row r="264" spans="1:9" ht="15">
      <c r="A264" s="186" t="s">
        <v>1282</v>
      </c>
      <c r="B264" s="188">
        <v>0</v>
      </c>
      <c r="C264" s="188">
        <v>0</v>
      </c>
      <c r="D264" s="188">
        <v>1409234.1937200001</v>
      </c>
      <c r="E264" s="188">
        <v>1409234.1937200001</v>
      </c>
      <c r="F264" s="188">
        <v>0</v>
      </c>
      <c r="G264" s="188">
        <v>0</v>
      </c>
      <c r="H264"/>
      <c r="I264"/>
    </row>
    <row r="265" spans="1:9" ht="15">
      <c r="A265" s="186" t="s">
        <v>1283</v>
      </c>
      <c r="B265" s="188">
        <v>480</v>
      </c>
      <c r="C265" s="188">
        <v>0</v>
      </c>
      <c r="D265" s="188">
        <v>1919</v>
      </c>
      <c r="E265" s="188">
        <v>1779</v>
      </c>
      <c r="F265" s="188">
        <v>620</v>
      </c>
      <c r="G265" s="188">
        <v>0</v>
      </c>
      <c r="H265" t="s">
        <v>2288</v>
      </c>
      <c r="I265" t="s">
        <v>2328</v>
      </c>
    </row>
    <row r="266" spans="1:9" ht="15">
      <c r="A266" s="186" t="s">
        <v>1284</v>
      </c>
      <c r="B266" s="188">
        <v>0</v>
      </c>
      <c r="C266" s="188">
        <v>0</v>
      </c>
      <c r="D266" s="188">
        <v>2305.00479</v>
      </c>
      <c r="E266" s="188">
        <v>2305.00479</v>
      </c>
      <c r="F266" s="188">
        <v>0</v>
      </c>
      <c r="G266" s="188">
        <v>0</v>
      </c>
      <c r="H266"/>
      <c r="I266"/>
    </row>
    <row r="267" spans="1:9" ht="15">
      <c r="A267" s="186" t="s">
        <v>840</v>
      </c>
      <c r="B267" s="188">
        <v>0</v>
      </c>
      <c r="C267" s="188">
        <v>0</v>
      </c>
      <c r="D267" s="188">
        <v>450</v>
      </c>
      <c r="E267" s="188">
        <v>450</v>
      </c>
      <c r="F267" s="188">
        <v>0</v>
      </c>
      <c r="G267" s="188">
        <v>0</v>
      </c>
      <c r="H267"/>
      <c r="I267"/>
    </row>
    <row r="268" spans="1:9" ht="15">
      <c r="A268" s="186" t="s">
        <v>841</v>
      </c>
      <c r="B268" s="188">
        <v>0</v>
      </c>
      <c r="C268" s="188">
        <v>0</v>
      </c>
      <c r="D268" s="188">
        <v>25051.236000000001</v>
      </c>
      <c r="E268" s="188">
        <v>25051.236000000001</v>
      </c>
      <c r="F268" s="188">
        <v>0</v>
      </c>
      <c r="G268" s="188">
        <v>0</v>
      </c>
      <c r="H268"/>
      <c r="I268"/>
    </row>
    <row r="269" spans="1:9" ht="15">
      <c r="A269" s="186" t="s">
        <v>841</v>
      </c>
      <c r="B269" s="188">
        <v>0</v>
      </c>
      <c r="C269" s="188">
        <v>0</v>
      </c>
      <c r="D269" s="188">
        <v>26383.475999999999</v>
      </c>
      <c r="E269" s="188">
        <v>26383.475999999999</v>
      </c>
      <c r="F269" s="188">
        <v>0</v>
      </c>
      <c r="G269" s="188">
        <v>0</v>
      </c>
      <c r="H269"/>
      <c r="I269"/>
    </row>
    <row r="270" spans="1:9" ht="15">
      <c r="A270" s="186" t="s">
        <v>1285</v>
      </c>
      <c r="B270" s="188">
        <v>0</v>
      </c>
      <c r="C270" s="188">
        <v>0</v>
      </c>
      <c r="D270" s="188">
        <v>90320.340299999996</v>
      </c>
      <c r="E270" s="188">
        <v>90320.340299999996</v>
      </c>
      <c r="F270" s="188">
        <v>0</v>
      </c>
      <c r="G270" s="188">
        <v>0</v>
      </c>
      <c r="H270"/>
      <c r="I270"/>
    </row>
    <row r="271" spans="1:9" ht="15">
      <c r="A271" s="186" t="s">
        <v>1286</v>
      </c>
      <c r="B271" s="188">
        <v>36</v>
      </c>
      <c r="C271" s="188">
        <v>0</v>
      </c>
      <c r="D271" s="188">
        <v>0</v>
      </c>
      <c r="E271" s="188">
        <v>36</v>
      </c>
      <c r="F271" s="188">
        <v>0</v>
      </c>
      <c r="G271" s="188">
        <v>0</v>
      </c>
      <c r="H271"/>
      <c r="I271"/>
    </row>
    <row r="272" spans="1:9" ht="15">
      <c r="A272" s="186" t="s">
        <v>1287</v>
      </c>
      <c r="B272" s="188">
        <v>5.0000000000000002E-5</v>
      </c>
      <c r="C272" s="188">
        <v>0</v>
      </c>
      <c r="D272" s="188">
        <v>0</v>
      </c>
      <c r="E272" s="188">
        <v>5.0000000000000002E-5</v>
      </c>
      <c r="F272" s="188">
        <v>0</v>
      </c>
      <c r="G272" s="188">
        <v>0</v>
      </c>
      <c r="H272"/>
      <c r="I272"/>
    </row>
    <row r="273" spans="1:9" ht="15">
      <c r="A273" s="186" t="s">
        <v>1288</v>
      </c>
      <c r="B273" s="188">
        <v>0</v>
      </c>
      <c r="C273" s="188">
        <v>0</v>
      </c>
      <c r="D273" s="188">
        <v>65</v>
      </c>
      <c r="E273" s="188">
        <v>65</v>
      </c>
      <c r="F273" s="188">
        <v>0</v>
      </c>
      <c r="G273" s="188">
        <v>0</v>
      </c>
      <c r="H273"/>
      <c r="I273"/>
    </row>
    <row r="274" spans="1:9" ht="15">
      <c r="A274" s="186" t="s">
        <v>1289</v>
      </c>
      <c r="B274" s="188">
        <v>71.5</v>
      </c>
      <c r="C274" s="188">
        <v>0</v>
      </c>
      <c r="D274" s="188">
        <v>0</v>
      </c>
      <c r="E274" s="188">
        <v>0</v>
      </c>
      <c r="F274" s="188">
        <v>71.5</v>
      </c>
      <c r="G274" s="188">
        <v>0</v>
      </c>
      <c r="H274" t="s">
        <v>2288</v>
      </c>
      <c r="I274" t="s">
        <v>2329</v>
      </c>
    </row>
    <row r="275" spans="1:9" ht="15">
      <c r="A275" s="186" t="s">
        <v>1290</v>
      </c>
      <c r="B275" s="188">
        <v>5000</v>
      </c>
      <c r="C275" s="188">
        <v>0</v>
      </c>
      <c r="D275" s="188">
        <v>0</v>
      </c>
      <c r="E275" s="188">
        <v>0</v>
      </c>
      <c r="F275" s="188">
        <v>5000</v>
      </c>
      <c r="G275" s="188">
        <v>0</v>
      </c>
      <c r="H275" t="s">
        <v>2164</v>
      </c>
      <c r="I275" t="s">
        <v>2330</v>
      </c>
    </row>
    <row r="276" spans="1:9" ht="15">
      <c r="A276" s="186" t="s">
        <v>1291</v>
      </c>
      <c r="B276" s="188">
        <v>0</v>
      </c>
      <c r="C276" s="188">
        <v>0</v>
      </c>
      <c r="D276" s="188">
        <v>603.05999999999995</v>
      </c>
      <c r="E276" s="188">
        <v>603.05999999999995</v>
      </c>
      <c r="F276" s="188">
        <v>0</v>
      </c>
      <c r="G276" s="188">
        <v>0</v>
      </c>
      <c r="H276"/>
      <c r="I276"/>
    </row>
    <row r="277" spans="1:9" ht="15">
      <c r="A277" s="186" t="s">
        <v>1292</v>
      </c>
      <c r="B277" s="188">
        <v>0</v>
      </c>
      <c r="C277" s="188">
        <v>0</v>
      </c>
      <c r="D277" s="188">
        <v>237950.35024</v>
      </c>
      <c r="E277" s="188">
        <v>237950.35024</v>
      </c>
      <c r="F277" s="188">
        <v>0</v>
      </c>
      <c r="G277" s="188">
        <v>0</v>
      </c>
      <c r="H277"/>
      <c r="I277"/>
    </row>
    <row r="278" spans="1:9" ht="15">
      <c r="A278" s="186" t="s">
        <v>1293</v>
      </c>
      <c r="B278" s="188">
        <v>0</v>
      </c>
      <c r="C278" s="188">
        <v>0</v>
      </c>
      <c r="D278" s="188">
        <v>180</v>
      </c>
      <c r="E278" s="188">
        <v>0</v>
      </c>
      <c r="F278" s="188">
        <v>180</v>
      </c>
      <c r="G278" s="188">
        <v>0</v>
      </c>
      <c r="H278" t="s">
        <v>2164</v>
      </c>
      <c r="I278" t="s">
        <v>2331</v>
      </c>
    </row>
    <row r="279" spans="1:9" ht="15">
      <c r="A279" s="186" t="s">
        <v>1294</v>
      </c>
      <c r="B279" s="188">
        <v>467.35192000000001</v>
      </c>
      <c r="C279" s="188">
        <v>0</v>
      </c>
      <c r="D279" s="188">
        <v>1610.4896799999999</v>
      </c>
      <c r="E279" s="188">
        <v>853.56943999999999</v>
      </c>
      <c r="F279" s="188">
        <v>1224.27216</v>
      </c>
      <c r="G279" s="188">
        <v>0</v>
      </c>
      <c r="H279" t="s">
        <v>2164</v>
      </c>
      <c r="I279" t="s">
        <v>2332</v>
      </c>
    </row>
    <row r="280" spans="1:9" ht="15">
      <c r="A280" s="186" t="s">
        <v>1295</v>
      </c>
      <c r="B280" s="188">
        <v>17.167999999999999</v>
      </c>
      <c r="C280" s="188">
        <v>0</v>
      </c>
      <c r="D280" s="188">
        <v>2122.9</v>
      </c>
      <c r="E280" s="188">
        <v>2122.9</v>
      </c>
      <c r="F280" s="188">
        <v>17.167999999999999</v>
      </c>
      <c r="G280" s="188">
        <v>0</v>
      </c>
      <c r="H280" t="s">
        <v>2288</v>
      </c>
      <c r="I280" t="s">
        <v>2333</v>
      </c>
    </row>
    <row r="281" spans="1:9" ht="15">
      <c r="A281" s="186" t="s">
        <v>1296</v>
      </c>
      <c r="B281" s="188">
        <v>0</v>
      </c>
      <c r="C281" s="188">
        <v>0</v>
      </c>
      <c r="D281" s="188">
        <v>210</v>
      </c>
      <c r="E281" s="188">
        <v>210</v>
      </c>
      <c r="F281" s="188">
        <v>0</v>
      </c>
      <c r="G281" s="188">
        <v>0</v>
      </c>
      <c r="H281"/>
      <c r="I281"/>
    </row>
    <row r="282" spans="1:9" ht="15">
      <c r="A282" s="186" t="s">
        <v>1297</v>
      </c>
      <c r="B282" s="188">
        <v>0</v>
      </c>
      <c r="C282" s="188">
        <v>0</v>
      </c>
      <c r="D282" s="188">
        <v>1000</v>
      </c>
      <c r="E282" s="188">
        <v>1000</v>
      </c>
      <c r="F282" s="188">
        <v>0</v>
      </c>
      <c r="G282" s="188">
        <v>0</v>
      </c>
      <c r="H282"/>
      <c r="I282"/>
    </row>
    <row r="283" spans="1:9" ht="15">
      <c r="A283" s="186" t="s">
        <v>1298</v>
      </c>
      <c r="B283" s="188">
        <v>0</v>
      </c>
      <c r="C283" s="188">
        <v>0</v>
      </c>
      <c r="D283" s="188">
        <v>2264.9621499999998</v>
      </c>
      <c r="E283" s="188">
        <v>2264.9621499999998</v>
      </c>
      <c r="F283" s="188">
        <v>0</v>
      </c>
      <c r="G283" s="188">
        <v>0</v>
      </c>
      <c r="H283"/>
      <c r="I283"/>
    </row>
    <row r="284" spans="1:9" ht="15">
      <c r="A284" s="186" t="s">
        <v>1299</v>
      </c>
      <c r="B284" s="188">
        <v>0</v>
      </c>
      <c r="C284" s="188">
        <v>0</v>
      </c>
      <c r="D284" s="188">
        <v>1163</v>
      </c>
      <c r="E284" s="188">
        <v>1163</v>
      </c>
      <c r="F284" s="188">
        <v>0</v>
      </c>
      <c r="G284" s="188">
        <v>0</v>
      </c>
      <c r="H284"/>
      <c r="I284"/>
    </row>
    <row r="285" spans="1:9" ht="15">
      <c r="A285" s="186" t="s">
        <v>1300</v>
      </c>
      <c r="B285" s="188">
        <v>51</v>
      </c>
      <c r="C285" s="188">
        <v>0</v>
      </c>
      <c r="D285" s="188">
        <v>3808</v>
      </c>
      <c r="E285" s="188">
        <v>3808</v>
      </c>
      <c r="F285" s="188">
        <v>51</v>
      </c>
      <c r="G285" s="188">
        <v>0</v>
      </c>
      <c r="H285" t="s">
        <v>2288</v>
      </c>
      <c r="I285" t="s">
        <v>2334</v>
      </c>
    </row>
    <row r="286" spans="1:9" ht="15">
      <c r="A286" s="186" t="s">
        <v>1301</v>
      </c>
      <c r="B286" s="188">
        <v>0</v>
      </c>
      <c r="C286" s="188">
        <v>0</v>
      </c>
      <c r="D286" s="188">
        <v>25444.196370000001</v>
      </c>
      <c r="E286" s="188">
        <v>25444.196370000001</v>
      </c>
      <c r="F286" s="188">
        <v>0</v>
      </c>
      <c r="G286" s="188">
        <v>0</v>
      </c>
      <c r="H286"/>
      <c r="I286"/>
    </row>
    <row r="287" spans="1:9" ht="15">
      <c r="A287" s="186" t="s">
        <v>1302</v>
      </c>
      <c r="B287" s="188">
        <v>3600</v>
      </c>
      <c r="C287" s="188">
        <v>0</v>
      </c>
      <c r="D287" s="188">
        <v>0</v>
      </c>
      <c r="E287" s="188">
        <v>0</v>
      </c>
      <c r="F287" s="188">
        <v>3600</v>
      </c>
      <c r="G287" s="188">
        <v>0</v>
      </c>
      <c r="H287" t="s">
        <v>2283</v>
      </c>
      <c r="I287"/>
    </row>
    <row r="288" spans="1:9" ht="15">
      <c r="A288" s="186" t="s">
        <v>1303</v>
      </c>
      <c r="B288" s="188">
        <v>56.587060000000001</v>
      </c>
      <c r="C288" s="188">
        <v>0</v>
      </c>
      <c r="D288" s="188">
        <v>0</v>
      </c>
      <c r="E288" s="188">
        <v>0</v>
      </c>
      <c r="F288" s="188">
        <v>56.587060000000001</v>
      </c>
      <c r="G288" s="188">
        <v>0</v>
      </c>
      <c r="H288" t="s">
        <v>2164</v>
      </c>
      <c r="I288" t="s">
        <v>2335</v>
      </c>
    </row>
    <row r="289" spans="1:9" ht="15">
      <c r="A289" s="186" t="s">
        <v>1304</v>
      </c>
      <c r="B289" s="188">
        <v>0</v>
      </c>
      <c r="C289" s="188">
        <v>0</v>
      </c>
      <c r="D289" s="188">
        <v>598</v>
      </c>
      <c r="E289" s="188">
        <v>598</v>
      </c>
      <c r="F289" s="188">
        <v>0</v>
      </c>
      <c r="G289" s="188">
        <v>0</v>
      </c>
      <c r="H289"/>
      <c r="I289"/>
    </row>
    <row r="290" spans="1:9" ht="15">
      <c r="A290" s="186" t="s">
        <v>1305</v>
      </c>
      <c r="B290" s="188">
        <v>1071.4658999999999</v>
      </c>
      <c r="C290" s="188">
        <v>0</v>
      </c>
      <c r="D290" s="188">
        <v>23147.66216</v>
      </c>
      <c r="E290" s="188">
        <v>23147.66216</v>
      </c>
      <c r="F290" s="188">
        <v>1071.4658999999999</v>
      </c>
      <c r="G290" s="188">
        <v>0</v>
      </c>
      <c r="H290" t="s">
        <v>2288</v>
      </c>
      <c r="I290" t="s">
        <v>2336</v>
      </c>
    </row>
    <row r="291" spans="1:9" ht="15">
      <c r="A291" s="186" t="s">
        <v>852</v>
      </c>
      <c r="B291" s="188">
        <v>440.76100000000002</v>
      </c>
      <c r="C291" s="188">
        <v>0</v>
      </c>
      <c r="D291" s="188">
        <v>299.04000000000002</v>
      </c>
      <c r="E291" s="188">
        <v>739.80100000000004</v>
      </c>
      <c r="F291" s="188">
        <v>0</v>
      </c>
      <c r="G291" s="188">
        <v>0</v>
      </c>
      <c r="H291"/>
      <c r="I291"/>
    </row>
    <row r="292" spans="1:9" ht="15">
      <c r="A292" s="186" t="s">
        <v>1306</v>
      </c>
      <c r="B292" s="188">
        <v>4.4000000000000004</v>
      </c>
      <c r="C292" s="188">
        <v>0</v>
      </c>
      <c r="D292" s="188">
        <v>0</v>
      </c>
      <c r="E292" s="188">
        <v>0</v>
      </c>
      <c r="F292" s="188">
        <v>4.4000000000000004</v>
      </c>
      <c r="G292" s="188">
        <v>0</v>
      </c>
      <c r="H292" t="s">
        <v>2337</v>
      </c>
      <c r="I292" t="s">
        <v>2338</v>
      </c>
    </row>
    <row r="293" spans="1:9" ht="15">
      <c r="A293" s="186" t="s">
        <v>1307</v>
      </c>
      <c r="B293" s="188">
        <v>0</v>
      </c>
      <c r="C293" s="188">
        <v>0</v>
      </c>
      <c r="D293" s="188">
        <v>4738.8649999999998</v>
      </c>
      <c r="E293" s="188">
        <v>4738.8649999999998</v>
      </c>
      <c r="F293" s="188">
        <v>0</v>
      </c>
      <c r="G293" s="188">
        <v>0</v>
      </c>
      <c r="H293"/>
      <c r="I293"/>
    </row>
    <row r="294" spans="1:9" ht="15">
      <c r="A294" s="186" t="s">
        <v>1308</v>
      </c>
      <c r="B294" s="188">
        <v>1935.5</v>
      </c>
      <c r="C294" s="188">
        <v>0</v>
      </c>
      <c r="D294" s="188">
        <v>0</v>
      </c>
      <c r="E294" s="188">
        <v>0</v>
      </c>
      <c r="F294" s="188">
        <v>1935.5</v>
      </c>
      <c r="G294" s="188">
        <v>0</v>
      </c>
      <c r="H294" t="s">
        <v>2288</v>
      </c>
      <c r="I294" t="s">
        <v>2339</v>
      </c>
    </row>
    <row r="295" spans="1:9" ht="15">
      <c r="A295" s="186" t="s">
        <v>1309</v>
      </c>
      <c r="B295" s="188">
        <v>0</v>
      </c>
      <c r="C295" s="188">
        <v>0</v>
      </c>
      <c r="D295" s="188">
        <v>23711.200000000001</v>
      </c>
      <c r="E295" s="188">
        <v>0</v>
      </c>
      <c r="F295" s="197">
        <v>23711.200000000001</v>
      </c>
      <c r="G295" s="188">
        <v>0</v>
      </c>
      <c r="H295" s="419" t="s">
        <v>2164</v>
      </c>
      <c r="I295" t="s">
        <v>2340</v>
      </c>
    </row>
    <row r="296" spans="1:9" ht="15">
      <c r="A296" s="186" t="s">
        <v>1310</v>
      </c>
      <c r="B296" s="188">
        <v>0</v>
      </c>
      <c r="C296" s="188">
        <v>0</v>
      </c>
      <c r="D296" s="188">
        <v>83.207999999999998</v>
      </c>
      <c r="E296" s="188">
        <v>83.207999999999998</v>
      </c>
      <c r="F296" s="188">
        <v>0</v>
      </c>
      <c r="G296" s="188">
        <v>0</v>
      </c>
      <c r="H296"/>
      <c r="I296"/>
    </row>
    <row r="297" spans="1:9" ht="15">
      <c r="A297" s="186" t="s">
        <v>1311</v>
      </c>
      <c r="B297" s="188">
        <v>0</v>
      </c>
      <c r="C297" s="188">
        <v>0</v>
      </c>
      <c r="D297" s="188">
        <v>5131.4967000000006</v>
      </c>
      <c r="E297" s="188">
        <v>5131.4967000000006</v>
      </c>
      <c r="F297" s="188">
        <v>0</v>
      </c>
      <c r="G297" s="188">
        <v>0</v>
      </c>
      <c r="H297"/>
      <c r="I297"/>
    </row>
    <row r="298" spans="1:9" ht="15">
      <c r="A298" s="186" t="s">
        <v>1312</v>
      </c>
      <c r="B298" s="188">
        <v>0</v>
      </c>
      <c r="C298" s="188">
        <v>0</v>
      </c>
      <c r="D298" s="188">
        <v>235.5</v>
      </c>
      <c r="E298" s="188">
        <v>235.5</v>
      </c>
      <c r="F298" s="188">
        <v>0</v>
      </c>
      <c r="G298" s="188">
        <v>0</v>
      </c>
      <c r="H298"/>
      <c r="I298"/>
    </row>
    <row r="299" spans="1:9" ht="15">
      <c r="A299" s="186" t="s">
        <v>1313</v>
      </c>
      <c r="B299" s="188">
        <v>0</v>
      </c>
      <c r="C299" s="188">
        <v>0</v>
      </c>
      <c r="D299" s="188">
        <v>235.5</v>
      </c>
      <c r="E299" s="188">
        <v>235.5</v>
      </c>
      <c r="F299" s="188">
        <v>0</v>
      </c>
      <c r="G299" s="188">
        <v>0</v>
      </c>
      <c r="H299"/>
      <c r="I299"/>
    </row>
    <row r="300" spans="1:9" ht="15">
      <c r="A300" s="186" t="s">
        <v>1314</v>
      </c>
      <c r="B300" s="188">
        <v>72.319999999999993</v>
      </c>
      <c r="C300" s="188">
        <v>0</v>
      </c>
      <c r="D300" s="188">
        <v>0</v>
      </c>
      <c r="E300" s="188">
        <v>0</v>
      </c>
      <c r="F300" s="188">
        <v>72.319999999999993</v>
      </c>
      <c r="G300" s="188">
        <v>0</v>
      </c>
      <c r="H300" t="s">
        <v>2288</v>
      </c>
      <c r="I300" t="s">
        <v>2315</v>
      </c>
    </row>
    <row r="301" spans="1:9" ht="15">
      <c r="A301" s="186" t="s">
        <v>1315</v>
      </c>
      <c r="B301" s="188">
        <v>198</v>
      </c>
      <c r="C301" s="188">
        <v>0</v>
      </c>
      <c r="D301" s="188">
        <v>0</v>
      </c>
      <c r="E301" s="188">
        <v>198</v>
      </c>
      <c r="F301" s="188">
        <v>0</v>
      </c>
      <c r="G301" s="188">
        <v>0</v>
      </c>
      <c r="H301"/>
      <c r="I301"/>
    </row>
    <row r="302" spans="1:9" ht="15">
      <c r="A302" s="186" t="s">
        <v>1316</v>
      </c>
      <c r="B302" s="188">
        <v>0</v>
      </c>
      <c r="C302" s="188">
        <v>0</v>
      </c>
      <c r="D302" s="188">
        <v>0.75</v>
      </c>
      <c r="E302" s="188">
        <v>0.75</v>
      </c>
      <c r="F302" s="188">
        <v>0</v>
      </c>
      <c r="G302" s="188">
        <v>0</v>
      </c>
      <c r="H302"/>
      <c r="I302"/>
    </row>
    <row r="303" spans="1:9" ht="15">
      <c r="A303" s="186" t="s">
        <v>1317</v>
      </c>
      <c r="B303" s="188">
        <v>0</v>
      </c>
      <c r="C303" s="188">
        <v>0</v>
      </c>
      <c r="D303" s="188">
        <v>6.4</v>
      </c>
      <c r="E303" s="188">
        <v>6.4</v>
      </c>
      <c r="F303" s="188">
        <v>0</v>
      </c>
      <c r="G303" s="188">
        <v>0</v>
      </c>
      <c r="H303"/>
      <c r="I303"/>
    </row>
    <row r="304" spans="1:9" ht="15">
      <c r="A304" s="186" t="s">
        <v>1318</v>
      </c>
      <c r="B304" s="188">
        <v>116.422</v>
      </c>
      <c r="C304" s="188">
        <v>0</v>
      </c>
      <c r="D304" s="188">
        <v>3509.21</v>
      </c>
      <c r="E304" s="188">
        <v>3625.6320000000001</v>
      </c>
      <c r="F304" s="188">
        <v>0</v>
      </c>
      <c r="G304" s="188">
        <v>0</v>
      </c>
      <c r="H304"/>
      <c r="I304"/>
    </row>
    <row r="305" spans="1:9" ht="15">
      <c r="A305" s="186" t="s">
        <v>1319</v>
      </c>
      <c r="B305" s="188">
        <v>0</v>
      </c>
      <c r="C305" s="188">
        <v>0</v>
      </c>
      <c r="D305" s="188">
        <v>91</v>
      </c>
      <c r="E305" s="188">
        <v>91</v>
      </c>
      <c r="F305" s="188">
        <v>0</v>
      </c>
      <c r="G305" s="188">
        <v>0</v>
      </c>
      <c r="H305"/>
      <c r="I305"/>
    </row>
    <row r="306" spans="1:9" ht="15">
      <c r="A306" s="186" t="s">
        <v>1320</v>
      </c>
      <c r="B306" s="188">
        <v>0</v>
      </c>
      <c r="C306" s="188">
        <v>0</v>
      </c>
      <c r="D306" s="188">
        <v>639.15250000000003</v>
      </c>
      <c r="E306" s="188">
        <v>639.15250000000003</v>
      </c>
      <c r="F306" s="188">
        <v>0</v>
      </c>
      <c r="G306" s="188">
        <v>0</v>
      </c>
      <c r="H306"/>
      <c r="I306"/>
    </row>
    <row r="307" spans="1:9" ht="15">
      <c r="A307" s="186" t="s">
        <v>1321</v>
      </c>
      <c r="B307" s="188">
        <v>0</v>
      </c>
      <c r="C307" s="188">
        <v>0</v>
      </c>
      <c r="D307" s="188">
        <v>258.3</v>
      </c>
      <c r="E307" s="188">
        <v>258.3</v>
      </c>
      <c r="F307" s="188">
        <v>0</v>
      </c>
      <c r="G307" s="188">
        <v>0</v>
      </c>
      <c r="H307"/>
      <c r="I307"/>
    </row>
    <row r="308" spans="1:9" ht="15">
      <c r="A308" s="186" t="s">
        <v>1322</v>
      </c>
      <c r="B308" s="188">
        <v>0</v>
      </c>
      <c r="C308" s="188">
        <v>0</v>
      </c>
      <c r="D308" s="188">
        <v>8538.2261999999992</v>
      </c>
      <c r="E308" s="188">
        <v>8538.2261999999992</v>
      </c>
      <c r="F308" s="188">
        <v>0</v>
      </c>
      <c r="G308" s="188">
        <v>0</v>
      </c>
      <c r="H308"/>
      <c r="I308"/>
    </row>
    <row r="309" spans="1:9" ht="15">
      <c r="A309" s="186" t="s">
        <v>1323</v>
      </c>
      <c r="B309" s="188">
        <v>0</v>
      </c>
      <c r="C309" s="188">
        <v>0</v>
      </c>
      <c r="D309" s="188">
        <v>90.314600000000013</v>
      </c>
      <c r="E309" s="188">
        <v>0</v>
      </c>
      <c r="F309" s="188">
        <v>90.314600000000013</v>
      </c>
      <c r="G309" s="188">
        <v>0</v>
      </c>
      <c r="H309" t="s">
        <v>2164</v>
      </c>
      <c r="I309" t="s">
        <v>2341</v>
      </c>
    </row>
    <row r="310" spans="1:9" ht="15">
      <c r="A310" s="186" t="s">
        <v>1324</v>
      </c>
      <c r="B310" s="188">
        <v>0</v>
      </c>
      <c r="C310" s="188">
        <v>0</v>
      </c>
      <c r="D310" s="188">
        <v>5876.2740000000003</v>
      </c>
      <c r="E310" s="188">
        <v>5876.2740000000003</v>
      </c>
      <c r="F310" s="188">
        <v>0</v>
      </c>
      <c r="G310" s="188">
        <v>0</v>
      </c>
      <c r="H310"/>
      <c r="I310"/>
    </row>
    <row r="311" spans="1:9" ht="15">
      <c r="A311" s="186" t="s">
        <v>1325</v>
      </c>
      <c r="B311" s="188">
        <v>0</v>
      </c>
      <c r="C311" s="188">
        <v>0</v>
      </c>
      <c r="D311" s="188">
        <v>1570.01</v>
      </c>
      <c r="E311" s="188">
        <v>1570.01</v>
      </c>
      <c r="F311" s="188">
        <v>0</v>
      </c>
      <c r="G311" s="188">
        <v>0</v>
      </c>
      <c r="H311"/>
      <c r="I311"/>
    </row>
    <row r="312" spans="1:9" ht="15">
      <c r="A312" s="186" t="s">
        <v>1326</v>
      </c>
      <c r="B312" s="188">
        <v>0</v>
      </c>
      <c r="C312" s="188">
        <v>0</v>
      </c>
      <c r="D312" s="188">
        <v>562.27</v>
      </c>
      <c r="E312" s="188">
        <v>562.27</v>
      </c>
      <c r="F312" s="188">
        <v>0</v>
      </c>
      <c r="G312" s="188">
        <v>0</v>
      </c>
      <c r="H312"/>
      <c r="I312"/>
    </row>
    <row r="313" spans="1:9" ht="15">
      <c r="A313" s="186" t="s">
        <v>1327</v>
      </c>
      <c r="B313" s="188">
        <v>0</v>
      </c>
      <c r="C313" s="188">
        <v>0</v>
      </c>
      <c r="D313" s="188">
        <v>31.675000000000001</v>
      </c>
      <c r="E313" s="188">
        <v>31.675000000000001</v>
      </c>
      <c r="F313" s="188">
        <v>0</v>
      </c>
      <c r="G313" s="188">
        <v>0</v>
      </c>
      <c r="H313"/>
      <c r="I313"/>
    </row>
    <row r="314" spans="1:9" ht="15">
      <c r="A314" s="186" t="s">
        <v>1328</v>
      </c>
      <c r="B314" s="188">
        <v>0</v>
      </c>
      <c r="C314" s="188">
        <v>0</v>
      </c>
      <c r="D314" s="188">
        <v>790</v>
      </c>
      <c r="E314" s="188">
        <v>790</v>
      </c>
      <c r="F314" s="188">
        <v>0</v>
      </c>
      <c r="G314" s="188">
        <v>0</v>
      </c>
      <c r="H314"/>
      <c r="I314"/>
    </row>
    <row r="315" spans="1:9" ht="15">
      <c r="A315" s="186" t="s">
        <v>869</v>
      </c>
      <c r="B315" s="188">
        <v>0</v>
      </c>
      <c r="C315" s="188">
        <v>0</v>
      </c>
      <c r="D315" s="188">
        <v>385</v>
      </c>
      <c r="E315" s="188">
        <v>385</v>
      </c>
      <c r="F315" s="188">
        <v>0</v>
      </c>
      <c r="G315" s="188">
        <v>0</v>
      </c>
      <c r="H315"/>
      <c r="I315"/>
    </row>
    <row r="316" spans="1:9" ht="15">
      <c r="A316" s="186" t="s">
        <v>1329</v>
      </c>
      <c r="B316" s="188">
        <v>420</v>
      </c>
      <c r="C316" s="188">
        <v>0</v>
      </c>
      <c r="D316" s="188">
        <v>92</v>
      </c>
      <c r="E316" s="188">
        <v>92</v>
      </c>
      <c r="F316" s="188">
        <v>420</v>
      </c>
      <c r="G316" s="188">
        <v>0</v>
      </c>
      <c r="H316" t="s">
        <v>2288</v>
      </c>
      <c r="I316" t="s">
        <v>2315</v>
      </c>
    </row>
    <row r="317" spans="1:9" ht="15">
      <c r="A317" s="186" t="s">
        <v>1330</v>
      </c>
      <c r="B317" s="188">
        <v>0</v>
      </c>
      <c r="C317" s="188">
        <v>0</v>
      </c>
      <c r="D317" s="188">
        <v>57.908999999999999</v>
      </c>
      <c r="E317" s="188">
        <v>57.908999999999999</v>
      </c>
      <c r="F317" s="188">
        <v>0</v>
      </c>
      <c r="G317" s="188">
        <v>0</v>
      </c>
      <c r="H317"/>
      <c r="I317"/>
    </row>
    <row r="318" spans="1:9" ht="15">
      <c r="A318" s="186" t="s">
        <v>1331</v>
      </c>
      <c r="B318" s="188">
        <v>0</v>
      </c>
      <c r="C318" s="188">
        <v>0</v>
      </c>
      <c r="D318" s="188">
        <v>1663.1511499999999</v>
      </c>
      <c r="E318" s="188">
        <v>1663.1511499999999</v>
      </c>
      <c r="F318" s="188">
        <v>0</v>
      </c>
      <c r="G318" s="188">
        <v>0</v>
      </c>
      <c r="H318"/>
      <c r="I318"/>
    </row>
    <row r="319" spans="1:9" ht="15">
      <c r="A319" s="186" t="s">
        <v>1332</v>
      </c>
      <c r="B319" s="188">
        <v>0</v>
      </c>
      <c r="C319" s="188">
        <v>0</v>
      </c>
      <c r="D319" s="188">
        <v>5465.3625000000002</v>
      </c>
      <c r="E319" s="188">
        <v>5465.3625000000002</v>
      </c>
      <c r="F319" s="188">
        <v>0</v>
      </c>
      <c r="G319" s="188">
        <v>0</v>
      </c>
      <c r="H319"/>
      <c r="I319"/>
    </row>
    <row r="320" spans="1:9" ht="15">
      <c r="A320" s="186" t="s">
        <v>1333</v>
      </c>
      <c r="B320" s="188">
        <v>0</v>
      </c>
      <c r="C320" s="188">
        <v>0</v>
      </c>
      <c r="D320" s="188">
        <v>275.5</v>
      </c>
      <c r="E320" s="188">
        <v>275.5</v>
      </c>
      <c r="F320" s="188">
        <v>0</v>
      </c>
      <c r="G320" s="188">
        <v>0</v>
      </c>
      <c r="H320"/>
      <c r="I320"/>
    </row>
    <row r="321" spans="1:9" ht="15">
      <c r="A321" s="186" t="s">
        <v>1334</v>
      </c>
      <c r="B321" s="188">
        <v>0</v>
      </c>
      <c r="C321" s="188">
        <v>0</v>
      </c>
      <c r="D321" s="188">
        <v>165.44</v>
      </c>
      <c r="E321" s="188">
        <v>165.44</v>
      </c>
      <c r="F321" s="188">
        <v>0</v>
      </c>
      <c r="G321" s="188">
        <v>0</v>
      </c>
      <c r="H321"/>
      <c r="I321"/>
    </row>
    <row r="322" spans="1:9" ht="15">
      <c r="A322" s="186" t="s">
        <v>1335</v>
      </c>
      <c r="B322" s="188">
        <v>148.94999999999999</v>
      </c>
      <c r="C322" s="188">
        <v>0</v>
      </c>
      <c r="D322" s="188">
        <v>0</v>
      </c>
      <c r="E322" s="188">
        <v>148.94999999999999</v>
      </c>
      <c r="F322" s="188">
        <v>0</v>
      </c>
      <c r="G322" s="188">
        <v>0</v>
      </c>
      <c r="H322"/>
      <c r="I322"/>
    </row>
    <row r="323" spans="1:9" ht="15">
      <c r="A323" s="186" t="s">
        <v>1336</v>
      </c>
      <c r="B323" s="188">
        <v>0</v>
      </c>
      <c r="C323" s="188">
        <v>0</v>
      </c>
      <c r="D323" s="188">
        <v>22311.25906</v>
      </c>
      <c r="E323" s="188">
        <v>22311.25906</v>
      </c>
      <c r="F323" s="188">
        <v>0</v>
      </c>
      <c r="G323" s="188">
        <v>0</v>
      </c>
      <c r="H323"/>
      <c r="I323"/>
    </row>
    <row r="324" spans="1:9" ht="15">
      <c r="A324" s="186" t="s">
        <v>1337</v>
      </c>
      <c r="B324" s="188">
        <v>0</v>
      </c>
      <c r="C324" s="188">
        <v>0</v>
      </c>
      <c r="D324" s="188">
        <v>200</v>
      </c>
      <c r="E324" s="188">
        <v>200</v>
      </c>
      <c r="F324" s="188">
        <v>0</v>
      </c>
      <c r="G324" s="188">
        <v>0</v>
      </c>
      <c r="H324"/>
      <c r="I324"/>
    </row>
    <row r="325" spans="1:9" ht="15">
      <c r="A325" s="186" t="s">
        <v>1338</v>
      </c>
      <c r="B325" s="188">
        <v>2476.2199999999998</v>
      </c>
      <c r="C325" s="188">
        <v>0</v>
      </c>
      <c r="D325" s="188">
        <v>9711.25</v>
      </c>
      <c r="E325" s="188">
        <v>10957.52</v>
      </c>
      <c r="F325" s="188">
        <v>1229.95</v>
      </c>
      <c r="G325" s="188">
        <v>0</v>
      </c>
      <c r="H325" t="s">
        <v>2288</v>
      </c>
      <c r="I325" t="s">
        <v>2342</v>
      </c>
    </row>
    <row r="326" spans="1:9" ht="15">
      <c r="A326" s="186" t="s">
        <v>1339</v>
      </c>
      <c r="B326" s="188">
        <v>0</v>
      </c>
      <c r="C326" s="188">
        <v>0</v>
      </c>
      <c r="D326" s="188">
        <v>471.096</v>
      </c>
      <c r="E326" s="188">
        <v>471.096</v>
      </c>
      <c r="F326" s="188">
        <v>0</v>
      </c>
      <c r="G326" s="188">
        <v>0</v>
      </c>
      <c r="H326"/>
      <c r="I326"/>
    </row>
    <row r="327" spans="1:9" ht="15">
      <c r="A327" s="186" t="s">
        <v>1340</v>
      </c>
      <c r="B327" s="188">
        <v>37.1</v>
      </c>
      <c r="C327" s="188">
        <v>0</v>
      </c>
      <c r="D327" s="188">
        <v>0</v>
      </c>
      <c r="E327" s="188">
        <v>37.1</v>
      </c>
      <c r="F327" s="188">
        <v>0</v>
      </c>
      <c r="G327" s="188">
        <v>0</v>
      </c>
      <c r="H327"/>
      <c r="I327"/>
    </row>
    <row r="328" spans="1:9" ht="15">
      <c r="A328" s="186" t="s">
        <v>1341</v>
      </c>
      <c r="B328" s="188">
        <v>261.64105999999998</v>
      </c>
      <c r="C328" s="188">
        <v>0</v>
      </c>
      <c r="D328" s="188">
        <v>0</v>
      </c>
      <c r="E328" s="188">
        <v>0</v>
      </c>
      <c r="F328" s="188">
        <v>261.64105999999998</v>
      </c>
      <c r="G328" s="188">
        <v>0</v>
      </c>
      <c r="H328" t="s">
        <v>2164</v>
      </c>
      <c r="I328" t="s">
        <v>2343</v>
      </c>
    </row>
    <row r="329" spans="1:9" ht="15">
      <c r="A329" s="186" t="s">
        <v>1342</v>
      </c>
      <c r="B329" s="188">
        <v>0</v>
      </c>
      <c r="C329" s="188">
        <v>0</v>
      </c>
      <c r="D329" s="188">
        <v>130</v>
      </c>
      <c r="E329" s="188">
        <v>130</v>
      </c>
      <c r="F329" s="188">
        <v>0</v>
      </c>
      <c r="G329" s="188">
        <v>0</v>
      </c>
      <c r="H329"/>
      <c r="I329"/>
    </row>
    <row r="330" spans="1:9" ht="15">
      <c r="A330" s="186" t="s">
        <v>1343</v>
      </c>
      <c r="B330" s="188">
        <v>8.4320799999999991</v>
      </c>
      <c r="C330" s="188">
        <v>0</v>
      </c>
      <c r="D330" s="188">
        <v>8264.58</v>
      </c>
      <c r="E330" s="188">
        <v>8273.0073899999988</v>
      </c>
      <c r="F330" s="188">
        <v>4.6900000000000006E-3</v>
      </c>
      <c r="G330" s="188">
        <v>0</v>
      </c>
      <c r="H330"/>
      <c r="I330"/>
    </row>
    <row r="331" spans="1:9" ht="15">
      <c r="A331" s="186" t="s">
        <v>1344</v>
      </c>
      <c r="B331" s="188">
        <v>0</v>
      </c>
      <c r="C331" s="188">
        <v>0</v>
      </c>
      <c r="D331" s="188">
        <v>2.4500000000000002</v>
      </c>
      <c r="E331" s="188">
        <v>2.4500000000000002</v>
      </c>
      <c r="F331" s="188">
        <v>0</v>
      </c>
      <c r="G331" s="188">
        <v>0</v>
      </c>
      <c r="H331"/>
      <c r="I331"/>
    </row>
    <row r="332" spans="1:9" ht="15">
      <c r="A332" s="186" t="s">
        <v>1345</v>
      </c>
      <c r="B332" s="188">
        <v>0</v>
      </c>
      <c r="C332" s="188">
        <v>0</v>
      </c>
      <c r="D332" s="188">
        <v>11163.628000000001</v>
      </c>
      <c r="E332" s="188">
        <v>11163.628000000001</v>
      </c>
      <c r="F332" s="188">
        <v>0</v>
      </c>
      <c r="G332" s="188">
        <v>0</v>
      </c>
      <c r="H332"/>
      <c r="I332"/>
    </row>
    <row r="333" spans="1:9" ht="15">
      <c r="A333" s="186" t="s">
        <v>1346</v>
      </c>
      <c r="B333" s="188">
        <v>0</v>
      </c>
      <c r="C333" s="188">
        <v>0</v>
      </c>
      <c r="D333" s="188">
        <v>1167</v>
      </c>
      <c r="E333" s="188">
        <v>1167</v>
      </c>
      <c r="F333" s="188">
        <v>0</v>
      </c>
      <c r="G333" s="188">
        <v>0</v>
      </c>
      <c r="H333"/>
      <c r="I333"/>
    </row>
    <row r="334" spans="1:9" ht="15">
      <c r="A334" s="186" t="s">
        <v>1347</v>
      </c>
      <c r="B334" s="188">
        <v>0</v>
      </c>
      <c r="C334" s="188">
        <v>0</v>
      </c>
      <c r="D334" s="188">
        <v>980</v>
      </c>
      <c r="E334" s="188">
        <v>980</v>
      </c>
      <c r="F334" s="188">
        <v>0</v>
      </c>
      <c r="G334" s="188">
        <v>0</v>
      </c>
      <c r="H334"/>
      <c r="I334"/>
    </row>
    <row r="335" spans="1:9" ht="15">
      <c r="A335" s="186" t="s">
        <v>1348</v>
      </c>
      <c r="B335" s="188">
        <v>0</v>
      </c>
      <c r="C335" s="188">
        <v>0</v>
      </c>
      <c r="D335" s="188">
        <v>130059.18407999999</v>
      </c>
      <c r="E335" s="188">
        <v>130059.18407999999</v>
      </c>
      <c r="F335" s="188">
        <v>0</v>
      </c>
      <c r="G335" s="188">
        <v>0</v>
      </c>
      <c r="H335"/>
      <c r="I335"/>
    </row>
    <row r="336" spans="1:9" ht="15">
      <c r="A336" s="186" t="s">
        <v>1349</v>
      </c>
      <c r="B336" s="188">
        <v>0</v>
      </c>
      <c r="C336" s="188">
        <v>0</v>
      </c>
      <c r="D336" s="188">
        <v>1061.3330000000001</v>
      </c>
      <c r="E336" s="188">
        <v>1061.3330000000001</v>
      </c>
      <c r="F336" s="188">
        <v>0</v>
      </c>
      <c r="G336" s="188">
        <v>0</v>
      </c>
      <c r="H336"/>
      <c r="I336"/>
    </row>
    <row r="337" spans="1:9" ht="15">
      <c r="A337" s="186" t="s">
        <v>1350</v>
      </c>
      <c r="B337" s="188">
        <v>1208.8786100000002</v>
      </c>
      <c r="C337" s="188">
        <v>0</v>
      </c>
      <c r="D337" s="188">
        <v>24050</v>
      </c>
      <c r="E337" s="188">
        <v>0</v>
      </c>
      <c r="F337" s="188">
        <v>25258.87861</v>
      </c>
      <c r="G337" s="188">
        <v>0</v>
      </c>
      <c r="H337" t="s">
        <v>2164</v>
      </c>
      <c r="I337" t="s">
        <v>2344</v>
      </c>
    </row>
    <row r="338" spans="1:9" ht="15">
      <c r="A338" s="186" t="s">
        <v>1351</v>
      </c>
      <c r="B338" s="188">
        <v>0</v>
      </c>
      <c r="C338" s="188">
        <v>0</v>
      </c>
      <c r="D338" s="188">
        <v>78.400000000000006</v>
      </c>
      <c r="E338" s="188">
        <v>78.400000000000006</v>
      </c>
      <c r="F338" s="188">
        <v>0</v>
      </c>
      <c r="G338" s="188">
        <v>0</v>
      </c>
      <c r="H338"/>
      <c r="I338"/>
    </row>
    <row r="339" spans="1:9" ht="15">
      <c r="A339" s="186" t="s">
        <v>1352</v>
      </c>
      <c r="B339" s="188">
        <v>51.618949999999998</v>
      </c>
      <c r="C339" s="188">
        <v>0</v>
      </c>
      <c r="D339" s="188">
        <v>0</v>
      </c>
      <c r="E339" s="188">
        <v>0</v>
      </c>
      <c r="F339" s="188">
        <v>51.618949999999998</v>
      </c>
      <c r="G339" s="188">
        <v>0</v>
      </c>
      <c r="H339" t="s">
        <v>2288</v>
      </c>
      <c r="I339" t="s">
        <v>2315</v>
      </c>
    </row>
    <row r="340" spans="1:9" ht="15">
      <c r="A340" s="186" t="s">
        <v>1353</v>
      </c>
      <c r="B340" s="188">
        <v>0</v>
      </c>
      <c r="C340" s="188">
        <v>0</v>
      </c>
      <c r="D340" s="188">
        <v>11876.5116</v>
      </c>
      <c r="E340" s="188">
        <v>11876.5116</v>
      </c>
      <c r="F340" s="188">
        <v>0</v>
      </c>
      <c r="G340" s="188">
        <v>0</v>
      </c>
      <c r="H340"/>
      <c r="I340"/>
    </row>
    <row r="341" spans="1:9" ht="15">
      <c r="A341" s="186" t="s">
        <v>1354</v>
      </c>
      <c r="B341" s="188">
        <v>26</v>
      </c>
      <c r="C341" s="188">
        <v>0</v>
      </c>
      <c r="D341" s="188">
        <v>0</v>
      </c>
      <c r="E341" s="188">
        <v>0</v>
      </c>
      <c r="F341" s="188">
        <v>26</v>
      </c>
      <c r="G341" s="188">
        <v>0</v>
      </c>
      <c r="H341" t="s">
        <v>2288</v>
      </c>
      <c r="I341" t="s">
        <v>2345</v>
      </c>
    </row>
    <row r="342" spans="1:9" ht="15">
      <c r="A342" s="186" t="s">
        <v>1355</v>
      </c>
      <c r="B342" s="188">
        <v>2005.5</v>
      </c>
      <c r="C342" s="188">
        <v>0</v>
      </c>
      <c r="D342" s="188">
        <v>0</v>
      </c>
      <c r="E342" s="188">
        <v>0</v>
      </c>
      <c r="F342" s="188">
        <v>2005.5</v>
      </c>
      <c r="G342" s="188">
        <v>0</v>
      </c>
      <c r="H342" t="s">
        <v>2283</v>
      </c>
      <c r="I342" t="s">
        <v>2346</v>
      </c>
    </row>
    <row r="343" spans="1:9" ht="15">
      <c r="A343" s="186" t="s">
        <v>1356</v>
      </c>
      <c r="B343" s="188">
        <v>0</v>
      </c>
      <c r="C343" s="188">
        <v>0</v>
      </c>
      <c r="D343" s="188">
        <v>101.4</v>
      </c>
      <c r="E343" s="188">
        <v>101.4</v>
      </c>
      <c r="F343" s="188">
        <v>0</v>
      </c>
      <c r="G343" s="188">
        <v>0</v>
      </c>
      <c r="H343"/>
      <c r="I343"/>
    </row>
    <row r="344" spans="1:9" ht="15">
      <c r="A344" s="186" t="s">
        <v>1357</v>
      </c>
      <c r="B344" s="188">
        <v>0</v>
      </c>
      <c r="C344" s="188">
        <v>0</v>
      </c>
      <c r="D344" s="188">
        <v>28787.80688</v>
      </c>
      <c r="E344" s="188">
        <v>23408.44688</v>
      </c>
      <c r="F344" s="197">
        <v>5379.36</v>
      </c>
      <c r="G344" s="188">
        <v>0</v>
      </c>
      <c r="H344" s="226" t="s">
        <v>2347</v>
      </c>
      <c r="I344" t="s">
        <v>2348</v>
      </c>
    </row>
    <row r="345" spans="1:9" ht="15">
      <c r="A345" s="186" t="s">
        <v>1358</v>
      </c>
      <c r="B345" s="188">
        <v>0</v>
      </c>
      <c r="C345" s="188">
        <v>0</v>
      </c>
      <c r="D345" s="188">
        <v>28695</v>
      </c>
      <c r="E345" s="188">
        <v>28695</v>
      </c>
      <c r="F345" s="188">
        <v>0</v>
      </c>
      <c r="G345" s="188">
        <v>0</v>
      </c>
      <c r="H345" s="226"/>
      <c r="I345"/>
    </row>
    <row r="346" spans="1:9" ht="15">
      <c r="A346" s="186" t="s">
        <v>1359</v>
      </c>
      <c r="B346" s="188">
        <v>0</v>
      </c>
      <c r="C346" s="188">
        <v>0</v>
      </c>
      <c r="D346" s="188">
        <v>100.035</v>
      </c>
      <c r="E346" s="188">
        <v>76.584999999999994</v>
      </c>
      <c r="F346" s="188">
        <v>23.45</v>
      </c>
      <c r="G346" s="188">
        <v>0</v>
      </c>
      <c r="H346" s="226" t="s">
        <v>2288</v>
      </c>
      <c r="I346" t="s">
        <v>2349</v>
      </c>
    </row>
    <row r="347" spans="1:9" ht="15">
      <c r="A347" s="186" t="s">
        <v>1360</v>
      </c>
      <c r="B347" s="188">
        <v>0</v>
      </c>
      <c r="C347" s="188">
        <v>0</v>
      </c>
      <c r="D347" s="188">
        <v>437.38499999999999</v>
      </c>
      <c r="E347" s="188">
        <v>437.38499999999999</v>
      </c>
      <c r="F347" s="188">
        <v>0</v>
      </c>
      <c r="G347" s="188">
        <v>0</v>
      </c>
      <c r="H347" s="226"/>
      <c r="I347"/>
    </row>
    <row r="348" spans="1:9" ht="15">
      <c r="A348" s="186" t="s">
        <v>1361</v>
      </c>
      <c r="B348" s="188">
        <v>0</v>
      </c>
      <c r="C348" s="188">
        <v>0</v>
      </c>
      <c r="D348" s="188">
        <v>57.805999999999997</v>
      </c>
      <c r="E348" s="188">
        <v>57.805999999999997</v>
      </c>
      <c r="F348" s="188">
        <v>0</v>
      </c>
      <c r="G348" s="188">
        <v>0</v>
      </c>
      <c r="H348" s="226"/>
      <c r="I348"/>
    </row>
    <row r="349" spans="1:9" ht="15">
      <c r="A349" s="186" t="s">
        <v>1362</v>
      </c>
      <c r="B349" s="188">
        <v>0</v>
      </c>
      <c r="C349" s="188">
        <v>0</v>
      </c>
      <c r="D349" s="188">
        <v>16</v>
      </c>
      <c r="E349" s="188">
        <v>16</v>
      </c>
      <c r="F349" s="188">
        <v>0</v>
      </c>
      <c r="G349" s="188">
        <v>0</v>
      </c>
      <c r="H349" s="226"/>
      <c r="I349"/>
    </row>
    <row r="350" spans="1:9" ht="15">
      <c r="A350" s="186" t="s">
        <v>1363</v>
      </c>
      <c r="B350" s="188">
        <v>0</v>
      </c>
      <c r="C350" s="188">
        <v>0</v>
      </c>
      <c r="D350" s="188">
        <v>121.992</v>
      </c>
      <c r="E350" s="188">
        <v>121.992</v>
      </c>
      <c r="F350" s="188">
        <v>0</v>
      </c>
      <c r="G350" s="188">
        <v>0</v>
      </c>
      <c r="H350" s="226"/>
      <c r="I350"/>
    </row>
    <row r="351" spans="1:9" ht="15">
      <c r="A351" s="186" t="s">
        <v>1364</v>
      </c>
      <c r="B351" s="188">
        <v>0</v>
      </c>
      <c r="C351" s="188">
        <v>0</v>
      </c>
      <c r="D351" s="188">
        <v>1022.4</v>
      </c>
      <c r="E351" s="188">
        <v>1022.4</v>
      </c>
      <c r="F351" s="188">
        <v>0</v>
      </c>
      <c r="G351" s="188">
        <v>0</v>
      </c>
      <c r="H351" s="226"/>
      <c r="I351"/>
    </row>
    <row r="352" spans="1:9" ht="15">
      <c r="A352" s="186" t="s">
        <v>1365</v>
      </c>
      <c r="B352" s="188">
        <v>0</v>
      </c>
      <c r="C352" s="188">
        <v>0</v>
      </c>
      <c r="D352" s="188">
        <v>485331.81667000003</v>
      </c>
      <c r="E352" s="188">
        <v>485331.81667000003</v>
      </c>
      <c r="F352" s="188">
        <v>0</v>
      </c>
      <c r="G352" s="188">
        <v>0</v>
      </c>
      <c r="H352" s="226"/>
      <c r="I352"/>
    </row>
    <row r="353" spans="1:9" ht="15">
      <c r="A353" s="186" t="s">
        <v>1366</v>
      </c>
      <c r="B353" s="188">
        <v>0</v>
      </c>
      <c r="C353" s="188">
        <v>0</v>
      </c>
      <c r="D353" s="188">
        <v>13.08</v>
      </c>
      <c r="E353" s="188">
        <v>13.08</v>
      </c>
      <c r="F353" s="188">
        <v>0</v>
      </c>
      <c r="G353" s="188">
        <v>0</v>
      </c>
      <c r="H353" s="226"/>
      <c r="I353"/>
    </row>
    <row r="354" spans="1:9" ht="15">
      <c r="A354" s="186" t="s">
        <v>1367</v>
      </c>
      <c r="B354" s="188">
        <v>417.67500000000001</v>
      </c>
      <c r="C354" s="188">
        <v>0</v>
      </c>
      <c r="D354" s="188">
        <v>284.81</v>
      </c>
      <c r="E354" s="188">
        <v>702.48500000000001</v>
      </c>
      <c r="F354" s="188">
        <v>0</v>
      </c>
      <c r="G354" s="188">
        <v>0</v>
      </c>
      <c r="H354"/>
      <c r="I354"/>
    </row>
    <row r="355" spans="1:9" ht="15">
      <c r="A355" s="186" t="s">
        <v>1368</v>
      </c>
      <c r="B355" s="188">
        <v>1121.9000000000001</v>
      </c>
      <c r="C355" s="188">
        <v>0</v>
      </c>
      <c r="D355" s="188">
        <v>0</v>
      </c>
      <c r="E355" s="188">
        <v>53.9</v>
      </c>
      <c r="F355" s="188">
        <v>1068</v>
      </c>
      <c r="G355" s="188">
        <v>0</v>
      </c>
      <c r="H355" t="s">
        <v>2288</v>
      </c>
      <c r="I355" t="s">
        <v>2350</v>
      </c>
    </row>
    <row r="356" spans="1:9" ht="15">
      <c r="A356" s="186" t="s">
        <v>884</v>
      </c>
      <c r="B356" s="188">
        <v>233.33</v>
      </c>
      <c r="C356" s="188">
        <v>0</v>
      </c>
      <c r="D356" s="188">
        <v>1763.2639999999999</v>
      </c>
      <c r="E356" s="188">
        <v>1673.192</v>
      </c>
      <c r="F356" s="188">
        <v>323.40199999999999</v>
      </c>
      <c r="G356" s="188">
        <v>0</v>
      </c>
      <c r="H356" t="s">
        <v>2288</v>
      </c>
      <c r="I356" t="s">
        <v>2351</v>
      </c>
    </row>
    <row r="357" spans="1:9" ht="15">
      <c r="A357" s="186" t="s">
        <v>1369</v>
      </c>
      <c r="B357" s="188">
        <v>0</v>
      </c>
      <c r="C357" s="188">
        <v>0</v>
      </c>
      <c r="D357" s="188">
        <v>337.05</v>
      </c>
      <c r="E357" s="188">
        <v>337.05</v>
      </c>
      <c r="F357" s="188">
        <v>0</v>
      </c>
      <c r="G357" s="188">
        <v>0</v>
      </c>
      <c r="H357"/>
      <c r="I357"/>
    </row>
    <row r="358" spans="1:9" ht="15">
      <c r="A358" s="186" t="s">
        <v>1370</v>
      </c>
      <c r="B358" s="188">
        <v>0</v>
      </c>
      <c r="C358" s="188">
        <v>0</v>
      </c>
      <c r="D358" s="188">
        <v>18</v>
      </c>
      <c r="E358" s="188">
        <v>18</v>
      </c>
      <c r="F358" s="188">
        <v>0</v>
      </c>
      <c r="G358" s="188">
        <v>0</v>
      </c>
      <c r="H358"/>
      <c r="I358"/>
    </row>
    <row r="359" spans="1:9" ht="15">
      <c r="A359" s="186" t="s">
        <v>1371</v>
      </c>
      <c r="B359" s="188">
        <v>903</v>
      </c>
      <c r="C359" s="188">
        <v>0</v>
      </c>
      <c r="D359" s="188">
        <v>0</v>
      </c>
      <c r="E359" s="188">
        <v>0</v>
      </c>
      <c r="F359" s="188">
        <v>903</v>
      </c>
      <c r="G359" s="188">
        <v>0</v>
      </c>
      <c r="H359" t="s">
        <v>2288</v>
      </c>
      <c r="I359" t="s">
        <v>2352</v>
      </c>
    </row>
    <row r="360" spans="1:9" ht="15">
      <c r="A360" s="186" t="s">
        <v>1372</v>
      </c>
      <c r="B360" s="188">
        <v>0</v>
      </c>
      <c r="C360" s="188">
        <v>0</v>
      </c>
      <c r="D360" s="188">
        <v>121.044</v>
      </c>
      <c r="E360" s="188">
        <v>121.044</v>
      </c>
      <c r="F360" s="188">
        <v>0</v>
      </c>
      <c r="G360" s="188">
        <v>0</v>
      </c>
      <c r="H360"/>
      <c r="I360"/>
    </row>
    <row r="361" spans="1:9" ht="15">
      <c r="A361" s="186" t="s">
        <v>1373</v>
      </c>
      <c r="B361" s="188">
        <v>0</v>
      </c>
      <c r="C361" s="188">
        <v>0</v>
      </c>
      <c r="D361" s="188">
        <v>54173.31</v>
      </c>
      <c r="E361" s="188">
        <v>54173.31</v>
      </c>
      <c r="F361" s="188">
        <v>0</v>
      </c>
      <c r="G361" s="188">
        <v>0</v>
      </c>
      <c r="H361"/>
      <c r="I361"/>
    </row>
    <row r="362" spans="1:9" ht="15">
      <c r="A362" s="186" t="s">
        <v>1374</v>
      </c>
      <c r="B362" s="188">
        <v>0</v>
      </c>
      <c r="C362" s="188">
        <v>0</v>
      </c>
      <c r="D362" s="188">
        <v>558.86500000000001</v>
      </c>
      <c r="E362" s="188">
        <v>558.86500000000001</v>
      </c>
      <c r="F362" s="188">
        <v>0</v>
      </c>
      <c r="G362" s="188">
        <v>0</v>
      </c>
      <c r="H362"/>
      <c r="I362"/>
    </row>
    <row r="363" spans="1:9" ht="15">
      <c r="A363" s="186" t="s">
        <v>1375</v>
      </c>
      <c r="B363" s="188">
        <v>75.478499999999997</v>
      </c>
      <c r="C363" s="188">
        <v>0</v>
      </c>
      <c r="D363" s="188">
        <v>637.68319999999994</v>
      </c>
      <c r="E363" s="188">
        <v>603.13235999999995</v>
      </c>
      <c r="F363" s="188">
        <v>110.02933999999999</v>
      </c>
      <c r="G363" s="188">
        <v>0</v>
      </c>
      <c r="H363" t="s">
        <v>2118</v>
      </c>
      <c r="I363"/>
    </row>
    <row r="364" spans="1:9" ht="15">
      <c r="A364" s="186" t="s">
        <v>1376</v>
      </c>
      <c r="B364" s="188">
        <v>0</v>
      </c>
      <c r="C364" s="188">
        <v>0</v>
      </c>
      <c r="D364" s="188">
        <v>14.293799999999999</v>
      </c>
      <c r="E364" s="188">
        <v>14.293799999999999</v>
      </c>
      <c r="F364" s="188">
        <v>0</v>
      </c>
      <c r="G364" s="188">
        <v>0</v>
      </c>
      <c r="H364"/>
      <c r="I364"/>
    </row>
    <row r="365" spans="1:9" ht="15">
      <c r="A365" s="186" t="s">
        <v>889</v>
      </c>
      <c r="B365" s="188">
        <v>5.4329999999999998</v>
      </c>
      <c r="C365" s="188">
        <v>0</v>
      </c>
      <c r="D365" s="188">
        <v>101.75</v>
      </c>
      <c r="E365" s="188">
        <v>101.75</v>
      </c>
      <c r="F365" s="188">
        <v>5.4329999999999998</v>
      </c>
      <c r="G365" s="188">
        <v>0</v>
      </c>
      <c r="H365" t="s">
        <v>2288</v>
      </c>
      <c r="I365" t="s">
        <v>2321</v>
      </c>
    </row>
    <row r="366" spans="1:9" ht="15">
      <c r="A366" s="186" t="s">
        <v>1377</v>
      </c>
      <c r="B366" s="188">
        <v>0</v>
      </c>
      <c r="C366" s="188">
        <v>0</v>
      </c>
      <c r="D366" s="188">
        <v>5603.47</v>
      </c>
      <c r="E366" s="188">
        <v>5603.47</v>
      </c>
      <c r="F366" s="188">
        <v>0</v>
      </c>
      <c r="G366" s="188">
        <v>0</v>
      </c>
      <c r="H366"/>
      <c r="I366"/>
    </row>
    <row r="367" spans="1:9" ht="15">
      <c r="A367" s="186" t="s">
        <v>1378</v>
      </c>
      <c r="B367" s="188">
        <v>0</v>
      </c>
      <c r="C367" s="188">
        <v>0</v>
      </c>
      <c r="D367" s="188">
        <v>200</v>
      </c>
      <c r="E367" s="188">
        <v>200</v>
      </c>
      <c r="F367" s="188">
        <v>0</v>
      </c>
      <c r="G367" s="188">
        <v>0</v>
      </c>
      <c r="H367"/>
      <c r="I367"/>
    </row>
    <row r="368" spans="1:9" ht="15">
      <c r="A368" s="186" t="s">
        <v>1379</v>
      </c>
      <c r="B368" s="188">
        <v>0</v>
      </c>
      <c r="C368" s="188">
        <v>0</v>
      </c>
      <c r="D368" s="188">
        <v>84.787499999999994</v>
      </c>
      <c r="E368" s="188">
        <v>84.787499999999994</v>
      </c>
      <c r="F368" s="188">
        <v>0</v>
      </c>
      <c r="G368" s="188">
        <v>0</v>
      </c>
      <c r="H368"/>
      <c r="I368"/>
    </row>
    <row r="369" spans="1:9" ht="15">
      <c r="A369" s="186" t="s">
        <v>1380</v>
      </c>
      <c r="B369" s="188">
        <v>0</v>
      </c>
      <c r="C369" s="188">
        <v>0</v>
      </c>
      <c r="D369" s="188">
        <v>6415.2814800000006</v>
      </c>
      <c r="E369" s="188">
        <v>6415.2814800000006</v>
      </c>
      <c r="F369" s="188">
        <v>0</v>
      </c>
      <c r="G369" s="188">
        <v>0</v>
      </c>
      <c r="H369"/>
      <c r="I369"/>
    </row>
    <row r="370" spans="1:9" ht="15">
      <c r="A370" s="186" t="s">
        <v>1381</v>
      </c>
      <c r="B370" s="188">
        <v>0</v>
      </c>
      <c r="C370" s="188">
        <v>0</v>
      </c>
      <c r="D370" s="188">
        <v>150</v>
      </c>
      <c r="E370" s="188">
        <v>150</v>
      </c>
      <c r="F370" s="188">
        <v>0</v>
      </c>
      <c r="G370" s="188">
        <v>0</v>
      </c>
      <c r="H370"/>
      <c r="I370"/>
    </row>
    <row r="371" spans="1:9" ht="15">
      <c r="A371" s="186" t="s">
        <v>1382</v>
      </c>
      <c r="B371" s="188">
        <v>0</v>
      </c>
      <c r="C371" s="188">
        <v>0</v>
      </c>
      <c r="D371" s="188">
        <v>1668.6</v>
      </c>
      <c r="E371" s="188">
        <v>1668.6</v>
      </c>
      <c r="F371" s="188">
        <v>0</v>
      </c>
      <c r="G371" s="188">
        <v>0</v>
      </c>
      <c r="H371"/>
      <c r="I371"/>
    </row>
    <row r="372" spans="1:9" ht="15">
      <c r="A372" s="186" t="s">
        <v>1383</v>
      </c>
      <c r="B372" s="188">
        <v>3.93</v>
      </c>
      <c r="C372" s="188">
        <v>0</v>
      </c>
      <c r="D372" s="188">
        <v>668.68919999999991</v>
      </c>
      <c r="E372" s="188">
        <v>0</v>
      </c>
      <c r="F372" s="188">
        <v>672.61919999999998</v>
      </c>
      <c r="G372" s="188">
        <v>0</v>
      </c>
      <c r="H372" t="s">
        <v>2288</v>
      </c>
      <c r="I372" t="s">
        <v>2353</v>
      </c>
    </row>
    <row r="373" spans="1:9" ht="15">
      <c r="A373" s="186" t="s">
        <v>1384</v>
      </c>
      <c r="B373" s="188">
        <v>0</v>
      </c>
      <c r="C373" s="188">
        <v>0</v>
      </c>
      <c r="D373" s="188">
        <v>291.52499999999998</v>
      </c>
      <c r="E373" s="188">
        <v>291.52499999999998</v>
      </c>
      <c r="F373" s="188">
        <v>0</v>
      </c>
      <c r="G373" s="188">
        <v>0</v>
      </c>
      <c r="H373"/>
      <c r="I373"/>
    </row>
    <row r="374" spans="1:9" ht="15">
      <c r="A374" s="186" t="s">
        <v>1385</v>
      </c>
      <c r="B374" s="188">
        <v>0</v>
      </c>
      <c r="C374" s="188">
        <v>0</v>
      </c>
      <c r="D374" s="188">
        <v>336.9</v>
      </c>
      <c r="E374" s="188">
        <v>336.9</v>
      </c>
      <c r="F374" s="188">
        <v>0</v>
      </c>
      <c r="G374" s="188">
        <v>0</v>
      </c>
      <c r="H374"/>
      <c r="I374"/>
    </row>
    <row r="375" spans="1:9" ht="15">
      <c r="A375" s="186" t="s">
        <v>1386</v>
      </c>
      <c r="B375" s="188">
        <v>155.68</v>
      </c>
      <c r="C375" s="188">
        <v>0</v>
      </c>
      <c r="D375" s="188">
        <v>0</v>
      </c>
      <c r="E375" s="188">
        <v>0</v>
      </c>
      <c r="F375" s="188">
        <v>155.68</v>
      </c>
      <c r="G375" s="188">
        <v>0</v>
      </c>
      <c r="H375" t="s">
        <v>2288</v>
      </c>
      <c r="I375" t="s">
        <v>2354</v>
      </c>
    </row>
    <row r="376" spans="1:9" ht="15">
      <c r="A376" s="186" t="s">
        <v>1387</v>
      </c>
      <c r="B376" s="188">
        <v>0</v>
      </c>
      <c r="C376" s="188">
        <v>0</v>
      </c>
      <c r="D376" s="188">
        <v>2634.24</v>
      </c>
      <c r="E376" s="188">
        <v>2634.24</v>
      </c>
      <c r="F376" s="188">
        <v>0</v>
      </c>
      <c r="G376" s="188">
        <v>0</v>
      </c>
      <c r="H376"/>
      <c r="I376"/>
    </row>
    <row r="377" spans="1:9" ht="15">
      <c r="A377" s="186" t="s">
        <v>1388</v>
      </c>
      <c r="B377" s="188">
        <v>305.928</v>
      </c>
      <c r="C377" s="188">
        <v>0</v>
      </c>
      <c r="D377" s="188">
        <v>2310.5699599999998</v>
      </c>
      <c r="E377" s="188">
        <v>2616.4979600000001</v>
      </c>
      <c r="F377" s="188">
        <v>0</v>
      </c>
      <c r="G377" s="188">
        <v>0</v>
      </c>
      <c r="H377"/>
      <c r="I377"/>
    </row>
    <row r="378" spans="1:9" ht="15">
      <c r="A378" s="186" t="s">
        <v>1389</v>
      </c>
      <c r="B378" s="188">
        <v>0</v>
      </c>
      <c r="C378" s="188">
        <v>0</v>
      </c>
      <c r="D378" s="188">
        <v>594.34597999999994</v>
      </c>
      <c r="E378" s="188">
        <v>594.34597999999994</v>
      </c>
      <c r="F378" s="188">
        <v>0</v>
      </c>
      <c r="G378" s="188">
        <v>0</v>
      </c>
      <c r="H378"/>
      <c r="I378"/>
    </row>
    <row r="379" spans="1:9" ht="15">
      <c r="A379" s="186" t="s">
        <v>1390</v>
      </c>
      <c r="B379" s="188">
        <v>791.25</v>
      </c>
      <c r="C379" s="188">
        <v>0</v>
      </c>
      <c r="D379" s="188">
        <v>791.25</v>
      </c>
      <c r="E379" s="188">
        <v>1582.5</v>
      </c>
      <c r="F379" s="188">
        <v>0</v>
      </c>
      <c r="G379" s="188">
        <v>0</v>
      </c>
      <c r="H379"/>
      <c r="I379"/>
    </row>
    <row r="380" spans="1:9" ht="15">
      <c r="A380" s="186" t="s">
        <v>1391</v>
      </c>
      <c r="B380" s="188">
        <v>390</v>
      </c>
      <c r="C380" s="188">
        <v>0</v>
      </c>
      <c r="D380" s="188">
        <v>0</v>
      </c>
      <c r="E380" s="188">
        <v>390</v>
      </c>
      <c r="F380" s="188">
        <v>0</v>
      </c>
      <c r="G380" s="188">
        <v>0</v>
      </c>
      <c r="H380"/>
      <c r="I380"/>
    </row>
    <row r="381" spans="1:9" ht="15">
      <c r="A381" s="186" t="s">
        <v>1392</v>
      </c>
      <c r="B381" s="188">
        <v>178</v>
      </c>
      <c r="C381" s="188">
        <v>0</v>
      </c>
      <c r="D381" s="188">
        <v>0</v>
      </c>
      <c r="E381" s="188">
        <v>0</v>
      </c>
      <c r="F381" s="188">
        <v>178</v>
      </c>
      <c r="G381" s="188">
        <v>0</v>
      </c>
      <c r="H381" t="s">
        <v>2288</v>
      </c>
      <c r="I381" t="s">
        <v>2355</v>
      </c>
    </row>
    <row r="382" spans="1:9" ht="15">
      <c r="A382" s="186" t="s">
        <v>1393</v>
      </c>
      <c r="B382" s="188">
        <v>0</v>
      </c>
      <c r="C382" s="188">
        <v>0</v>
      </c>
      <c r="D382" s="188">
        <v>176.8</v>
      </c>
      <c r="E382" s="188">
        <v>176.8</v>
      </c>
      <c r="F382" s="188">
        <v>0</v>
      </c>
      <c r="G382" s="188">
        <v>0</v>
      </c>
      <c r="H382"/>
      <c r="I382"/>
    </row>
    <row r="383" spans="1:9" ht="15">
      <c r="A383" s="186" t="s">
        <v>1394</v>
      </c>
      <c r="B383" s="188">
        <v>0</v>
      </c>
      <c r="C383" s="188">
        <v>0</v>
      </c>
      <c r="D383" s="188">
        <v>536.52200000000005</v>
      </c>
      <c r="E383" s="188">
        <v>536.52200000000005</v>
      </c>
      <c r="F383" s="188">
        <v>0</v>
      </c>
      <c r="G383" s="188">
        <v>0</v>
      </c>
      <c r="H383"/>
      <c r="I383"/>
    </row>
    <row r="384" spans="1:9" ht="15">
      <c r="A384" s="186" t="s">
        <v>1395</v>
      </c>
      <c r="B384" s="188">
        <v>0</v>
      </c>
      <c r="C384" s="188">
        <v>0</v>
      </c>
      <c r="D384" s="188">
        <v>152.4</v>
      </c>
      <c r="E384" s="188">
        <v>152.4</v>
      </c>
      <c r="F384" s="188">
        <v>0</v>
      </c>
      <c r="G384" s="188">
        <v>0</v>
      </c>
      <c r="H384"/>
      <c r="I384"/>
    </row>
    <row r="385" spans="1:9" ht="15">
      <c r="A385" s="186" t="s">
        <v>1396</v>
      </c>
      <c r="B385" s="188">
        <v>3527.7579999999998</v>
      </c>
      <c r="C385" s="188">
        <v>0</v>
      </c>
      <c r="D385" s="188">
        <v>8282.1811900000012</v>
      </c>
      <c r="E385" s="188">
        <v>7916.4832000000006</v>
      </c>
      <c r="F385" s="188">
        <v>3893.4559900000004</v>
      </c>
      <c r="G385" s="188">
        <v>0</v>
      </c>
      <c r="H385" t="s">
        <v>2288</v>
      </c>
      <c r="I385" t="s">
        <v>2356</v>
      </c>
    </row>
    <row r="386" spans="1:9" ht="15">
      <c r="A386" s="186" t="s">
        <v>1397</v>
      </c>
      <c r="B386" s="188">
        <v>0</v>
      </c>
      <c r="C386" s="188">
        <v>0</v>
      </c>
      <c r="D386" s="188">
        <v>6091.1286700000001</v>
      </c>
      <c r="E386" s="188">
        <v>6091.1286700000001</v>
      </c>
      <c r="F386" s="188">
        <v>0</v>
      </c>
      <c r="G386" s="188">
        <v>0</v>
      </c>
      <c r="H386"/>
      <c r="I386"/>
    </row>
    <row r="387" spans="1:9" ht="15">
      <c r="A387" s="186" t="s">
        <v>1398</v>
      </c>
      <c r="B387" s="188">
        <v>0</v>
      </c>
      <c r="C387" s="188">
        <v>0</v>
      </c>
      <c r="D387" s="188">
        <v>6583.1216199999999</v>
      </c>
      <c r="E387" s="188">
        <v>6583.1216199999999</v>
      </c>
      <c r="F387" s="188">
        <v>0</v>
      </c>
      <c r="G387" s="188">
        <v>0</v>
      </c>
      <c r="H387"/>
      <c r="I387"/>
    </row>
    <row r="388" spans="1:9" ht="15">
      <c r="A388" s="186" t="s">
        <v>1399</v>
      </c>
      <c r="B388" s="188">
        <v>0</v>
      </c>
      <c r="C388" s="188">
        <v>0</v>
      </c>
      <c r="D388" s="188">
        <v>12191.2</v>
      </c>
      <c r="E388" s="188">
        <v>12191.2</v>
      </c>
      <c r="F388" s="188">
        <v>0</v>
      </c>
      <c r="G388" s="188">
        <v>0</v>
      </c>
      <c r="H388"/>
      <c r="I388"/>
    </row>
    <row r="389" spans="1:9" ht="15">
      <c r="A389" s="186" t="s">
        <v>1400</v>
      </c>
      <c r="B389" s="188">
        <v>665</v>
      </c>
      <c r="C389" s="188">
        <v>0</v>
      </c>
      <c r="D389" s="188">
        <v>6458.11</v>
      </c>
      <c r="E389" s="188">
        <v>5822.9229999999998</v>
      </c>
      <c r="F389" s="188">
        <v>1300.1869999999999</v>
      </c>
      <c r="G389" s="188">
        <v>0</v>
      </c>
      <c r="H389" t="s">
        <v>2164</v>
      </c>
      <c r="I389" t="s">
        <v>2331</v>
      </c>
    </row>
    <row r="390" spans="1:9" ht="15">
      <c r="A390" s="186" t="s">
        <v>1401</v>
      </c>
      <c r="B390" s="188">
        <v>18</v>
      </c>
      <c r="C390" s="188">
        <v>0</v>
      </c>
      <c r="D390" s="188">
        <v>0</v>
      </c>
      <c r="E390" s="188">
        <v>0</v>
      </c>
      <c r="F390" s="188">
        <v>18</v>
      </c>
      <c r="G390" s="188">
        <v>0</v>
      </c>
      <c r="H390" t="s">
        <v>2164</v>
      </c>
      <c r="I390" t="s">
        <v>2357</v>
      </c>
    </row>
    <row r="391" spans="1:9" ht="15">
      <c r="A391" s="186" t="s">
        <v>1402</v>
      </c>
      <c r="B391" s="188">
        <v>0</v>
      </c>
      <c r="C391" s="188">
        <v>0</v>
      </c>
      <c r="D391" s="188">
        <v>728.76175999999998</v>
      </c>
      <c r="E391" s="188">
        <v>728.76175999999998</v>
      </c>
      <c r="F391" s="188">
        <v>0</v>
      </c>
      <c r="G391" s="188">
        <v>0</v>
      </c>
      <c r="H391"/>
      <c r="I391"/>
    </row>
    <row r="392" spans="1:9" ht="15">
      <c r="A392" s="186" t="s">
        <v>1403</v>
      </c>
      <c r="B392" s="188">
        <v>0</v>
      </c>
      <c r="C392" s="188">
        <v>0</v>
      </c>
      <c r="D392" s="188">
        <v>7499.9949999999999</v>
      </c>
      <c r="E392" s="188">
        <v>7499.9949999999999</v>
      </c>
      <c r="F392" s="188">
        <v>0</v>
      </c>
      <c r="G392" s="188">
        <v>0</v>
      </c>
      <c r="H392"/>
      <c r="I392"/>
    </row>
    <row r="393" spans="1:9" ht="15">
      <c r="A393" s="186" t="s">
        <v>1404</v>
      </c>
      <c r="B393" s="188">
        <v>0</v>
      </c>
      <c r="C393" s="188">
        <v>0</v>
      </c>
      <c r="D393" s="188">
        <v>25198.918329999997</v>
      </c>
      <c r="E393" s="188">
        <v>25198.918329999997</v>
      </c>
      <c r="F393" s="188">
        <v>0</v>
      </c>
      <c r="G393" s="188">
        <v>0</v>
      </c>
      <c r="H393"/>
      <c r="I393"/>
    </row>
    <row r="394" spans="1:9" ht="15">
      <c r="A394" s="186" t="s">
        <v>1405</v>
      </c>
      <c r="B394" s="188">
        <v>0</v>
      </c>
      <c r="C394" s="188">
        <v>0</v>
      </c>
      <c r="D394" s="188">
        <v>183.48</v>
      </c>
      <c r="E394" s="188">
        <v>183.48</v>
      </c>
      <c r="F394" s="188">
        <v>0</v>
      </c>
      <c r="G394" s="188">
        <v>0</v>
      </c>
      <c r="H394"/>
      <c r="I394"/>
    </row>
    <row r="395" spans="1:9" ht="15">
      <c r="A395" s="186" t="s">
        <v>1406</v>
      </c>
      <c r="B395" s="188">
        <v>0</v>
      </c>
      <c r="C395" s="188">
        <v>0</v>
      </c>
      <c r="D395" s="188">
        <v>720</v>
      </c>
      <c r="E395" s="188">
        <v>720</v>
      </c>
      <c r="F395" s="188">
        <v>0</v>
      </c>
      <c r="G395" s="188">
        <v>0</v>
      </c>
      <c r="H395"/>
      <c r="I395"/>
    </row>
    <row r="396" spans="1:9" ht="15">
      <c r="A396" s="186" t="s">
        <v>1407</v>
      </c>
      <c r="B396" s="188">
        <v>0</v>
      </c>
      <c r="C396" s="188">
        <v>0</v>
      </c>
      <c r="D396" s="188">
        <v>1.98</v>
      </c>
      <c r="E396" s="188">
        <v>1.98</v>
      </c>
      <c r="F396" s="188">
        <v>0</v>
      </c>
      <c r="G396" s="188">
        <v>0</v>
      </c>
      <c r="H396"/>
      <c r="I396"/>
    </row>
    <row r="397" spans="1:9" ht="15">
      <c r="A397" s="186" t="s">
        <v>1408</v>
      </c>
      <c r="B397" s="188">
        <v>0</v>
      </c>
      <c r="C397" s="188">
        <v>0</v>
      </c>
      <c r="D397" s="188">
        <v>110886.89934999999</v>
      </c>
      <c r="E397" s="188">
        <v>110886.89934999999</v>
      </c>
      <c r="F397" s="188">
        <v>0</v>
      </c>
      <c r="G397" s="188">
        <v>0</v>
      </c>
      <c r="H397"/>
      <c r="I397"/>
    </row>
    <row r="398" spans="1:9" ht="15">
      <c r="A398" s="186" t="s">
        <v>1409</v>
      </c>
      <c r="B398" s="188">
        <v>0</v>
      </c>
      <c r="C398" s="188">
        <v>0</v>
      </c>
      <c r="D398" s="188">
        <v>8508.6662699999997</v>
      </c>
      <c r="E398" s="188">
        <v>8508.6662699999997</v>
      </c>
      <c r="F398" s="188">
        <v>0</v>
      </c>
      <c r="G398" s="188">
        <v>0</v>
      </c>
      <c r="H398"/>
      <c r="I398"/>
    </row>
    <row r="399" spans="1:9" ht="15">
      <c r="A399" s="186" t="s">
        <v>1410</v>
      </c>
      <c r="B399" s="188">
        <v>15.23968</v>
      </c>
      <c r="C399" s="188">
        <v>0</v>
      </c>
      <c r="D399" s="188">
        <v>0</v>
      </c>
      <c r="E399" s="188">
        <v>15.23968</v>
      </c>
      <c r="F399" s="188">
        <v>0</v>
      </c>
      <c r="G399" s="188">
        <v>0</v>
      </c>
      <c r="H399"/>
      <c r="I399"/>
    </row>
    <row r="400" spans="1:9" ht="15">
      <c r="A400" s="186" t="s">
        <v>1411</v>
      </c>
      <c r="B400" s="188">
        <v>0</v>
      </c>
      <c r="C400" s="188">
        <v>0</v>
      </c>
      <c r="D400" s="188">
        <v>21435.831719999998</v>
      </c>
      <c r="E400" s="188">
        <v>21435.831719999998</v>
      </c>
      <c r="F400" s="188">
        <v>0</v>
      </c>
      <c r="G400" s="188">
        <v>0</v>
      </c>
      <c r="H400"/>
      <c r="I400"/>
    </row>
    <row r="401" spans="1:9" ht="15">
      <c r="A401" s="186" t="s">
        <v>1412</v>
      </c>
      <c r="B401" s="188">
        <v>0</v>
      </c>
      <c r="C401" s="188">
        <v>0</v>
      </c>
      <c r="D401" s="188">
        <v>720</v>
      </c>
      <c r="E401" s="188">
        <v>720</v>
      </c>
      <c r="F401" s="188">
        <v>0</v>
      </c>
      <c r="G401" s="188">
        <v>0</v>
      </c>
      <c r="H401"/>
      <c r="I401"/>
    </row>
    <row r="402" spans="1:9" ht="15">
      <c r="A402" s="186" t="s">
        <v>1413</v>
      </c>
      <c r="B402" s="188">
        <v>0</v>
      </c>
      <c r="C402" s="188">
        <v>0</v>
      </c>
      <c r="D402" s="188">
        <v>255.5</v>
      </c>
      <c r="E402" s="188">
        <v>255.5</v>
      </c>
      <c r="F402" s="188">
        <v>0</v>
      </c>
      <c r="G402" s="188">
        <v>0</v>
      </c>
      <c r="H402"/>
      <c r="I402"/>
    </row>
    <row r="403" spans="1:9" ht="15">
      <c r="A403" s="186" t="s">
        <v>1414</v>
      </c>
      <c r="B403" s="188">
        <v>0</v>
      </c>
      <c r="C403" s="188">
        <v>0</v>
      </c>
      <c r="D403" s="188">
        <v>251.49</v>
      </c>
      <c r="E403" s="188">
        <v>251.49</v>
      </c>
      <c r="F403" s="188">
        <v>0</v>
      </c>
      <c r="G403" s="188">
        <v>0</v>
      </c>
      <c r="H403"/>
      <c r="I403"/>
    </row>
    <row r="404" spans="1:9" ht="15">
      <c r="A404" s="186" t="s">
        <v>1415</v>
      </c>
      <c r="B404" s="188">
        <v>0</v>
      </c>
      <c r="C404" s="188">
        <v>0</v>
      </c>
      <c r="D404" s="188">
        <v>3770.8745400000003</v>
      </c>
      <c r="E404" s="188">
        <v>3770.8745400000003</v>
      </c>
      <c r="F404" s="188">
        <v>0</v>
      </c>
      <c r="G404" s="188">
        <v>0</v>
      </c>
      <c r="H404"/>
      <c r="I404"/>
    </row>
    <row r="405" spans="1:9" ht="15">
      <c r="A405" s="186" t="s">
        <v>1416</v>
      </c>
      <c r="B405" s="188">
        <v>0</v>
      </c>
      <c r="C405" s="188">
        <v>0</v>
      </c>
      <c r="D405" s="188">
        <v>6.28</v>
      </c>
      <c r="E405" s="188">
        <v>6.28</v>
      </c>
      <c r="F405" s="188">
        <v>0</v>
      </c>
      <c r="G405" s="188">
        <v>0</v>
      </c>
      <c r="H405"/>
      <c r="I405"/>
    </row>
    <row r="406" spans="1:9" ht="15">
      <c r="A406" s="186" t="s">
        <v>1417</v>
      </c>
      <c r="B406" s="188">
        <v>0</v>
      </c>
      <c r="C406" s="188">
        <v>0</v>
      </c>
      <c r="D406" s="188">
        <v>1492.7360000000001</v>
      </c>
      <c r="E406" s="188">
        <v>1492.7360000000001</v>
      </c>
      <c r="F406" s="188">
        <v>0</v>
      </c>
      <c r="G406" s="188">
        <v>0</v>
      </c>
      <c r="H406"/>
      <c r="I406"/>
    </row>
    <row r="407" spans="1:9" ht="15">
      <c r="A407" s="186" t="s">
        <v>1418</v>
      </c>
      <c r="B407" s="188">
        <v>0</v>
      </c>
      <c r="C407" s="188">
        <v>0</v>
      </c>
      <c r="D407" s="188">
        <v>20700</v>
      </c>
      <c r="E407" s="188">
        <v>20700</v>
      </c>
      <c r="F407" s="188">
        <v>0</v>
      </c>
      <c r="G407" s="188">
        <v>0</v>
      </c>
      <c r="H407"/>
      <c r="I407"/>
    </row>
    <row r="408" spans="1:9" ht="15">
      <c r="A408" s="186" t="s">
        <v>1419</v>
      </c>
      <c r="B408" s="188">
        <v>0</v>
      </c>
      <c r="C408" s="188">
        <v>0</v>
      </c>
      <c r="D408" s="188">
        <v>4.9000000000000004</v>
      </c>
      <c r="E408" s="188">
        <v>4.9000000000000004</v>
      </c>
      <c r="F408" s="188">
        <v>0</v>
      </c>
      <c r="G408" s="188">
        <v>0</v>
      </c>
      <c r="H408"/>
      <c r="I408"/>
    </row>
    <row r="409" spans="1:9" ht="15">
      <c r="A409" s="186" t="s">
        <v>1420</v>
      </c>
      <c r="B409" s="188">
        <v>0</v>
      </c>
      <c r="C409" s="188">
        <v>0</v>
      </c>
      <c r="D409" s="188">
        <v>90</v>
      </c>
      <c r="E409" s="188">
        <v>72</v>
      </c>
      <c r="F409" s="188">
        <v>18</v>
      </c>
      <c r="G409" s="188">
        <v>0</v>
      </c>
      <c r="H409" t="s">
        <v>2288</v>
      </c>
      <c r="I409" t="s">
        <v>2289</v>
      </c>
    </row>
    <row r="410" spans="1:9" ht="15">
      <c r="A410" s="186" t="s">
        <v>1421</v>
      </c>
      <c r="B410" s="188">
        <v>0</v>
      </c>
      <c r="C410" s="188">
        <v>0</v>
      </c>
      <c r="D410" s="188">
        <v>61276.249950000005</v>
      </c>
      <c r="E410" s="188">
        <v>61276.249950000005</v>
      </c>
      <c r="F410" s="188">
        <v>0</v>
      </c>
      <c r="G410" s="188">
        <v>0</v>
      </c>
      <c r="H410"/>
      <c r="I410"/>
    </row>
    <row r="411" spans="1:9" ht="15">
      <c r="A411" s="186" t="s">
        <v>907</v>
      </c>
      <c r="B411" s="188">
        <v>0</v>
      </c>
      <c r="C411" s="188">
        <v>0</v>
      </c>
      <c r="D411" s="188">
        <v>1769.38</v>
      </c>
      <c r="E411" s="188">
        <v>1769.38</v>
      </c>
      <c r="F411" s="188">
        <v>0</v>
      </c>
      <c r="G411" s="188">
        <v>0</v>
      </c>
      <c r="H411"/>
      <c r="I411"/>
    </row>
    <row r="412" spans="1:9" ht="15">
      <c r="A412" s="186" t="s">
        <v>1422</v>
      </c>
      <c r="B412" s="188">
        <v>5320</v>
      </c>
      <c r="C412" s="188">
        <v>0</v>
      </c>
      <c r="D412" s="188">
        <v>3000</v>
      </c>
      <c r="E412" s="188">
        <v>1020</v>
      </c>
      <c r="F412" s="188">
        <v>7300</v>
      </c>
      <c r="G412" s="188">
        <v>0</v>
      </c>
      <c r="H412" s="226" t="s">
        <v>2164</v>
      </c>
      <c r="I412" t="s">
        <v>2358</v>
      </c>
    </row>
    <row r="413" spans="1:9" ht="15">
      <c r="A413" s="186" t="s">
        <v>1423</v>
      </c>
      <c r="B413" s="188">
        <v>0</v>
      </c>
      <c r="C413" s="188">
        <v>0</v>
      </c>
      <c r="D413" s="188">
        <v>280</v>
      </c>
      <c r="E413" s="188">
        <v>280</v>
      </c>
      <c r="F413" s="188">
        <v>0</v>
      </c>
      <c r="G413" s="188">
        <v>0</v>
      </c>
      <c r="H413"/>
      <c r="I413"/>
    </row>
    <row r="414" spans="1:9" ht="15">
      <c r="A414" s="186" t="s">
        <v>1424</v>
      </c>
      <c r="B414" s="188">
        <v>2027.61</v>
      </c>
      <c r="C414" s="188">
        <v>0</v>
      </c>
      <c r="D414" s="188">
        <v>0</v>
      </c>
      <c r="E414" s="188">
        <v>2027.61</v>
      </c>
      <c r="F414" s="188">
        <v>0</v>
      </c>
      <c r="G414" s="188">
        <v>0</v>
      </c>
      <c r="H414"/>
      <c r="I414"/>
    </row>
    <row r="415" spans="1:9" ht="15">
      <c r="A415" s="186" t="s">
        <v>1425</v>
      </c>
      <c r="B415" s="188">
        <v>750.97933999999998</v>
      </c>
      <c r="C415" s="188">
        <v>0</v>
      </c>
      <c r="D415" s="188">
        <v>30.516639999999999</v>
      </c>
      <c r="E415" s="188">
        <v>30.516639999999999</v>
      </c>
      <c r="F415" s="188">
        <v>750.97933999999998</v>
      </c>
      <c r="G415" s="188">
        <v>0</v>
      </c>
      <c r="H415" t="s">
        <v>2164</v>
      </c>
      <c r="I415" t="s">
        <v>2359</v>
      </c>
    </row>
    <row r="416" spans="1:9" ht="15">
      <c r="A416" s="186" t="s">
        <v>1426</v>
      </c>
      <c r="B416" s="188">
        <v>4.0000000000000001E-3</v>
      </c>
      <c r="C416" s="188">
        <v>0</v>
      </c>
      <c r="D416" s="188">
        <v>659.94</v>
      </c>
      <c r="E416" s="188">
        <v>659.94</v>
      </c>
      <c r="F416" s="188">
        <v>4.0000000000000001E-3</v>
      </c>
      <c r="G416" s="188">
        <v>0</v>
      </c>
      <c r="H416"/>
      <c r="I416"/>
    </row>
    <row r="417" spans="1:9" ht="15">
      <c r="A417" s="186" t="s">
        <v>1427</v>
      </c>
      <c r="B417" s="188">
        <v>0</v>
      </c>
      <c r="C417" s="188">
        <v>0</v>
      </c>
      <c r="D417" s="188">
        <v>1429.3017</v>
      </c>
      <c r="E417" s="188">
        <v>1429.3017</v>
      </c>
      <c r="F417" s="188">
        <v>0</v>
      </c>
      <c r="G417" s="188">
        <v>0</v>
      </c>
      <c r="H417"/>
      <c r="I417"/>
    </row>
    <row r="418" spans="1:9" ht="15">
      <c r="A418" s="186" t="s">
        <v>1428</v>
      </c>
      <c r="B418" s="188">
        <v>3.60318</v>
      </c>
      <c r="C418" s="188">
        <v>0</v>
      </c>
      <c r="D418" s="188">
        <v>4794.1208899999992</v>
      </c>
      <c r="E418" s="188">
        <v>4794.2458899999992</v>
      </c>
      <c r="F418" s="188">
        <v>3.47818</v>
      </c>
      <c r="G418" s="188">
        <v>0</v>
      </c>
      <c r="H418" t="s">
        <v>2164</v>
      </c>
      <c r="I418" t="s">
        <v>2360</v>
      </c>
    </row>
    <row r="419" spans="1:9" ht="15">
      <c r="A419" s="186" t="s">
        <v>1429</v>
      </c>
      <c r="B419" s="188">
        <v>928.65</v>
      </c>
      <c r="C419" s="188">
        <v>0</v>
      </c>
      <c r="D419" s="188">
        <v>10513.11059</v>
      </c>
      <c r="E419" s="188">
        <v>11441.76059</v>
      </c>
      <c r="F419" s="188">
        <v>0</v>
      </c>
      <c r="G419" s="188">
        <v>0</v>
      </c>
      <c r="H419"/>
      <c r="I419"/>
    </row>
    <row r="420" spans="1:9" ht="15">
      <c r="A420" s="186" t="s">
        <v>1430</v>
      </c>
      <c r="B420" s="188">
        <v>0</v>
      </c>
      <c r="C420" s="188">
        <v>0</v>
      </c>
      <c r="D420" s="188">
        <v>240.5</v>
      </c>
      <c r="E420" s="188">
        <v>240.5</v>
      </c>
      <c r="F420" s="188">
        <v>0</v>
      </c>
      <c r="G420" s="188">
        <v>0</v>
      </c>
      <c r="H420"/>
      <c r="I420"/>
    </row>
    <row r="421" spans="1:9" ht="15">
      <c r="A421" s="186" t="s">
        <v>1431</v>
      </c>
      <c r="B421" s="188">
        <v>0</v>
      </c>
      <c r="C421" s="188">
        <v>0</v>
      </c>
      <c r="D421" s="188">
        <v>18.36</v>
      </c>
      <c r="E421" s="188">
        <v>18.36</v>
      </c>
      <c r="F421" s="188">
        <v>0</v>
      </c>
      <c r="G421" s="188">
        <v>0</v>
      </c>
      <c r="H421"/>
      <c r="I421"/>
    </row>
    <row r="422" spans="1:9" ht="15">
      <c r="A422" s="186" t="s">
        <v>1432</v>
      </c>
      <c r="B422" s="188">
        <v>8187.6297000000004</v>
      </c>
      <c r="C422" s="188">
        <v>0</v>
      </c>
      <c r="D422" s="188">
        <v>23476.653999999999</v>
      </c>
      <c r="E422" s="188">
        <v>31664.2837</v>
      </c>
      <c r="F422" s="188">
        <v>0</v>
      </c>
      <c r="G422" s="188">
        <v>0</v>
      </c>
      <c r="H422"/>
      <c r="I422"/>
    </row>
    <row r="423" spans="1:9" ht="15">
      <c r="A423" s="186" t="s">
        <v>1433</v>
      </c>
      <c r="B423" s="188">
        <v>16.26183</v>
      </c>
      <c r="C423" s="188">
        <v>0</v>
      </c>
      <c r="D423" s="188">
        <v>0</v>
      </c>
      <c r="E423" s="188">
        <v>11.73516</v>
      </c>
      <c r="F423" s="188">
        <v>4.5266700000000002</v>
      </c>
      <c r="G423" s="188">
        <v>0</v>
      </c>
      <c r="H423" t="s">
        <v>2164</v>
      </c>
      <c r="I423" t="s">
        <v>2361</v>
      </c>
    </row>
    <row r="424" spans="1:9" ht="15">
      <c r="A424" s="186" t="s">
        <v>1434</v>
      </c>
      <c r="B424" s="188">
        <v>0</v>
      </c>
      <c r="C424" s="188">
        <v>0</v>
      </c>
      <c r="D424" s="188">
        <v>126</v>
      </c>
      <c r="E424" s="188">
        <v>0</v>
      </c>
      <c r="F424" s="188">
        <v>126</v>
      </c>
      <c r="G424" s="188">
        <v>0</v>
      </c>
      <c r="H424" t="s">
        <v>2164</v>
      </c>
      <c r="I424" t="s">
        <v>2362</v>
      </c>
    </row>
    <row r="425" spans="1:9" ht="15">
      <c r="A425" s="186" t="s">
        <v>1435</v>
      </c>
      <c r="B425" s="188">
        <v>0</v>
      </c>
      <c r="C425" s="188">
        <v>0</v>
      </c>
      <c r="D425" s="188">
        <v>20469.150000000001</v>
      </c>
      <c r="E425" s="188">
        <v>20469.150000000001</v>
      </c>
      <c r="F425" s="188">
        <v>0</v>
      </c>
      <c r="G425" s="188">
        <v>0</v>
      </c>
      <c r="H425"/>
      <c r="I425"/>
    </row>
    <row r="426" spans="1:9" ht="15">
      <c r="A426" s="186" t="s">
        <v>1436</v>
      </c>
      <c r="B426" s="188">
        <v>44.655999999999999</v>
      </c>
      <c r="C426" s="188">
        <v>0</v>
      </c>
      <c r="D426" s="188">
        <v>49.502000000000002</v>
      </c>
      <c r="E426" s="188">
        <v>94.158000000000001</v>
      </c>
      <c r="F426" s="188">
        <v>0</v>
      </c>
      <c r="G426" s="188">
        <v>0</v>
      </c>
      <c r="H426"/>
      <c r="I426"/>
    </row>
    <row r="427" spans="1:9" ht="15">
      <c r="A427" s="186" t="s">
        <v>1437</v>
      </c>
      <c r="B427" s="188">
        <v>15.699</v>
      </c>
      <c r="C427" s="188">
        <v>0</v>
      </c>
      <c r="D427" s="188">
        <v>16.64</v>
      </c>
      <c r="E427" s="188">
        <v>32.338999999999999</v>
      </c>
      <c r="F427" s="188">
        <v>0</v>
      </c>
      <c r="G427" s="188">
        <v>0</v>
      </c>
      <c r="H427"/>
      <c r="I427"/>
    </row>
    <row r="428" spans="1:9" ht="15">
      <c r="A428" s="186" t="s">
        <v>1438</v>
      </c>
      <c r="B428" s="188">
        <v>0</v>
      </c>
      <c r="C428" s="188">
        <v>0</v>
      </c>
      <c r="D428" s="188">
        <v>4018.5596800000003</v>
      </c>
      <c r="E428" s="188">
        <v>4018.5596800000003</v>
      </c>
      <c r="F428" s="188">
        <v>0</v>
      </c>
      <c r="G428" s="188">
        <v>0</v>
      </c>
      <c r="H428"/>
      <c r="I428"/>
    </row>
    <row r="429" spans="1:9" ht="15">
      <c r="A429" s="186" t="s">
        <v>1439</v>
      </c>
      <c r="B429" s="188">
        <v>0</v>
      </c>
      <c r="C429" s="188">
        <v>0</v>
      </c>
      <c r="D429" s="188">
        <v>180</v>
      </c>
      <c r="E429" s="188">
        <v>180</v>
      </c>
      <c r="F429" s="188">
        <v>0</v>
      </c>
      <c r="G429" s="188">
        <v>0</v>
      </c>
      <c r="H429"/>
      <c r="I429"/>
    </row>
    <row r="430" spans="1:9" ht="15">
      <c r="A430" s="186" t="s">
        <v>1440</v>
      </c>
      <c r="B430" s="188">
        <v>72.576619999999991</v>
      </c>
      <c r="C430" s="188">
        <v>0</v>
      </c>
      <c r="D430" s="188">
        <v>87.372500000000002</v>
      </c>
      <c r="E430" s="188">
        <v>101.78749999999999</v>
      </c>
      <c r="F430" s="188">
        <v>58.161619999999999</v>
      </c>
      <c r="G430" s="188">
        <v>0</v>
      </c>
      <c r="H430" t="s">
        <v>2164</v>
      </c>
      <c r="I430"/>
    </row>
    <row r="431" spans="1:9" ht="165">
      <c r="A431" s="186" t="s">
        <v>911</v>
      </c>
      <c r="B431" s="188">
        <v>0</v>
      </c>
      <c r="C431" s="188">
        <v>0</v>
      </c>
      <c r="D431" s="188">
        <v>17139.080000000002</v>
      </c>
      <c r="E431" s="188">
        <v>12417</v>
      </c>
      <c r="F431" s="197">
        <v>4722.08</v>
      </c>
      <c r="G431" s="188">
        <v>0</v>
      </c>
      <c r="H431" s="226" t="s">
        <v>2363</v>
      </c>
      <c r="I431"/>
    </row>
    <row r="432" spans="1:9" ht="15">
      <c r="A432" s="186" t="s">
        <v>1441</v>
      </c>
      <c r="B432" s="188">
        <v>0</v>
      </c>
      <c r="C432" s="188">
        <v>0</v>
      </c>
      <c r="D432" s="188">
        <v>13.68</v>
      </c>
      <c r="E432" s="188">
        <v>13.68</v>
      </c>
      <c r="F432" s="188">
        <v>0</v>
      </c>
      <c r="G432" s="188">
        <v>0</v>
      </c>
      <c r="H432"/>
      <c r="I432"/>
    </row>
    <row r="433" spans="1:9" ht="15">
      <c r="A433" s="186" t="s">
        <v>1442</v>
      </c>
      <c r="B433" s="188">
        <v>0</v>
      </c>
      <c r="C433" s="188">
        <v>0</v>
      </c>
      <c r="D433" s="188">
        <v>742.7</v>
      </c>
      <c r="E433" s="188">
        <v>742.7</v>
      </c>
      <c r="F433" s="188">
        <v>0</v>
      </c>
      <c r="G433" s="188">
        <v>0</v>
      </c>
      <c r="H433"/>
      <c r="I433"/>
    </row>
    <row r="434" spans="1:9" ht="15">
      <c r="A434" s="186" t="s">
        <v>1443</v>
      </c>
      <c r="B434" s="188">
        <v>0</v>
      </c>
      <c r="C434" s="188">
        <v>0</v>
      </c>
      <c r="D434" s="188">
        <v>225.89</v>
      </c>
      <c r="E434" s="188">
        <v>225.89</v>
      </c>
      <c r="F434" s="188">
        <v>0</v>
      </c>
      <c r="G434" s="188">
        <v>0</v>
      </c>
      <c r="H434"/>
      <c r="I434"/>
    </row>
    <row r="435" spans="1:9" ht="15">
      <c r="A435" s="186" t="s">
        <v>1444</v>
      </c>
      <c r="B435" s="188">
        <v>764.8143</v>
      </c>
      <c r="C435" s="188">
        <v>0</v>
      </c>
      <c r="D435" s="188">
        <v>0</v>
      </c>
      <c r="E435" s="188">
        <v>0</v>
      </c>
      <c r="F435" s="188">
        <v>764.8143</v>
      </c>
      <c r="G435" s="188">
        <v>0</v>
      </c>
      <c r="H435" t="s">
        <v>2164</v>
      </c>
      <c r="I435" t="s">
        <v>2364</v>
      </c>
    </row>
    <row r="436" spans="1:9" ht="15">
      <c r="A436" s="186" t="s">
        <v>1445</v>
      </c>
      <c r="B436" s="188">
        <v>0</v>
      </c>
      <c r="C436" s="188">
        <v>0</v>
      </c>
      <c r="D436" s="188">
        <v>208.613</v>
      </c>
      <c r="E436" s="188">
        <v>208.613</v>
      </c>
      <c r="F436" s="188">
        <v>0</v>
      </c>
      <c r="G436" s="188">
        <v>0</v>
      </c>
      <c r="H436"/>
      <c r="I436"/>
    </row>
    <row r="437" spans="1:9" ht="15">
      <c r="A437" s="186" t="s">
        <v>1446</v>
      </c>
      <c r="B437" s="188">
        <v>0</v>
      </c>
      <c r="C437" s="188">
        <v>0</v>
      </c>
      <c r="D437" s="188">
        <v>353.9</v>
      </c>
      <c r="E437" s="188">
        <v>353.9</v>
      </c>
      <c r="F437" s="188">
        <v>0</v>
      </c>
      <c r="G437" s="188">
        <v>0</v>
      </c>
      <c r="H437"/>
      <c r="I437"/>
    </row>
    <row r="438" spans="1:9" ht="15">
      <c r="A438" s="186" t="s">
        <v>1447</v>
      </c>
      <c r="B438" s="188">
        <v>0</v>
      </c>
      <c r="C438" s="188">
        <v>0</v>
      </c>
      <c r="D438" s="188">
        <v>247.88</v>
      </c>
      <c r="E438" s="188">
        <v>247.88</v>
      </c>
      <c r="F438" s="188">
        <v>0</v>
      </c>
      <c r="G438" s="188">
        <v>0</v>
      </c>
      <c r="H438"/>
      <c r="I438"/>
    </row>
    <row r="439" spans="1:9" ht="15">
      <c r="A439" s="186" t="s">
        <v>1448</v>
      </c>
      <c r="B439" s="188">
        <v>502.44238999999999</v>
      </c>
      <c r="C439" s="188">
        <v>0</v>
      </c>
      <c r="D439" s="188">
        <v>511.72171000000003</v>
      </c>
      <c r="E439" s="188">
        <v>1014.1641</v>
      </c>
      <c r="F439" s="188">
        <v>0</v>
      </c>
      <c r="G439" s="188">
        <v>0</v>
      </c>
      <c r="H439"/>
      <c r="I439"/>
    </row>
    <row r="440" spans="1:9" ht="15">
      <c r="A440" s="186" t="s">
        <v>1449</v>
      </c>
      <c r="B440" s="188">
        <v>441.3</v>
      </c>
      <c r="C440" s="188">
        <v>0</v>
      </c>
      <c r="D440" s="188">
        <v>0</v>
      </c>
      <c r="E440" s="188">
        <v>0</v>
      </c>
      <c r="F440" s="188">
        <v>441.3</v>
      </c>
      <c r="G440" s="188">
        <v>0</v>
      </c>
      <c r="H440" t="s">
        <v>2365</v>
      </c>
      <c r="I440" t="s">
        <v>2324</v>
      </c>
    </row>
    <row r="441" spans="1:9" ht="15">
      <c r="A441" s="186" t="s">
        <v>1450</v>
      </c>
      <c r="B441" s="188">
        <v>32.732999999999997</v>
      </c>
      <c r="C441" s="188">
        <v>0</v>
      </c>
      <c r="D441" s="188">
        <v>72</v>
      </c>
      <c r="E441" s="188">
        <v>72</v>
      </c>
      <c r="F441" s="188">
        <v>32.732999999999997</v>
      </c>
      <c r="G441" s="188">
        <v>0</v>
      </c>
      <c r="H441" t="s">
        <v>2365</v>
      </c>
      <c r="I441" t="s">
        <v>2324</v>
      </c>
    </row>
    <row r="442" spans="1:9" ht="15">
      <c r="A442" s="186" t="s">
        <v>1451</v>
      </c>
      <c r="B442" s="188">
        <v>0</v>
      </c>
      <c r="C442" s="188">
        <v>0</v>
      </c>
      <c r="D442" s="188">
        <v>56670.080000000002</v>
      </c>
      <c r="E442" s="188">
        <v>56670.080000000002</v>
      </c>
      <c r="F442" s="188">
        <v>0</v>
      </c>
      <c r="G442" s="188">
        <v>0</v>
      </c>
      <c r="H442"/>
      <c r="I442"/>
    </row>
    <row r="443" spans="1:9" ht="15">
      <c r="A443" s="186" t="s">
        <v>1452</v>
      </c>
      <c r="B443" s="188">
        <v>661.09890000000007</v>
      </c>
      <c r="C443" s="188">
        <v>0</v>
      </c>
      <c r="D443" s="188">
        <v>0</v>
      </c>
      <c r="E443" s="188">
        <v>661.09890000000007</v>
      </c>
      <c r="F443" s="188">
        <v>0</v>
      </c>
      <c r="G443" s="188">
        <v>0</v>
      </c>
      <c r="H443"/>
      <c r="I443"/>
    </row>
    <row r="444" spans="1:9" ht="15">
      <c r="A444" s="186" t="s">
        <v>1453</v>
      </c>
      <c r="B444" s="188">
        <v>0</v>
      </c>
      <c r="C444" s="188">
        <v>0</v>
      </c>
      <c r="D444" s="188">
        <v>133.22023000000002</v>
      </c>
      <c r="E444" s="188">
        <v>0</v>
      </c>
      <c r="F444" s="188">
        <v>133.22023000000002</v>
      </c>
      <c r="G444" s="188">
        <v>0</v>
      </c>
      <c r="H444" t="s">
        <v>2337</v>
      </c>
      <c r="I444" t="s">
        <v>2366</v>
      </c>
    </row>
    <row r="445" spans="1:9" ht="15">
      <c r="A445" s="186" t="s">
        <v>1454</v>
      </c>
      <c r="B445" s="188">
        <v>0</v>
      </c>
      <c r="C445" s="188">
        <v>0</v>
      </c>
      <c r="D445" s="188">
        <v>3247.04</v>
      </c>
      <c r="E445" s="188">
        <v>3247.04</v>
      </c>
      <c r="F445" s="188">
        <v>0</v>
      </c>
      <c r="G445" s="188">
        <v>0</v>
      </c>
      <c r="H445"/>
      <c r="I445"/>
    </row>
    <row r="446" spans="1:9" ht="15">
      <c r="A446" s="186" t="s">
        <v>1455</v>
      </c>
      <c r="B446" s="188">
        <v>2682.00641</v>
      </c>
      <c r="C446" s="188">
        <v>0</v>
      </c>
      <c r="D446" s="188">
        <v>5193.7294000000002</v>
      </c>
      <c r="E446" s="188">
        <v>5193.7294000000002</v>
      </c>
      <c r="F446" s="188">
        <v>2682.00641</v>
      </c>
      <c r="G446" s="188">
        <v>0</v>
      </c>
      <c r="H446" t="s">
        <v>2288</v>
      </c>
      <c r="I446" t="s">
        <v>2367</v>
      </c>
    </row>
    <row r="447" spans="1:9" ht="15">
      <c r="A447" s="186" t="s">
        <v>1456</v>
      </c>
      <c r="B447" s="188">
        <v>7.25</v>
      </c>
      <c r="C447" s="188">
        <v>0</v>
      </c>
      <c r="D447" s="188">
        <v>0</v>
      </c>
      <c r="E447" s="188">
        <v>0</v>
      </c>
      <c r="F447" s="188">
        <v>7.25</v>
      </c>
      <c r="G447" s="188">
        <v>0</v>
      </c>
      <c r="H447" t="s">
        <v>2288</v>
      </c>
      <c r="I447" t="s">
        <v>2324</v>
      </c>
    </row>
    <row r="448" spans="1:9" ht="15">
      <c r="A448" s="186" t="s">
        <v>1457</v>
      </c>
      <c r="B448" s="188">
        <v>0</v>
      </c>
      <c r="C448" s="188">
        <v>0</v>
      </c>
      <c r="D448" s="188">
        <v>4802.9849999999997</v>
      </c>
      <c r="E448" s="188">
        <v>4802.9849999999997</v>
      </c>
      <c r="F448" s="188">
        <v>0</v>
      </c>
      <c r="G448" s="188">
        <v>0</v>
      </c>
      <c r="H448"/>
      <c r="I448"/>
    </row>
    <row r="449" spans="1:9" ht="15">
      <c r="A449" s="186" t="s">
        <v>1458</v>
      </c>
      <c r="B449" s="188">
        <v>593.51419999999996</v>
      </c>
      <c r="C449" s="188">
        <v>0</v>
      </c>
      <c r="D449" s="188">
        <v>0</v>
      </c>
      <c r="E449" s="188">
        <v>0</v>
      </c>
      <c r="F449" s="188">
        <v>593.51419999999996</v>
      </c>
      <c r="G449" s="188">
        <v>0</v>
      </c>
      <c r="H449" t="s">
        <v>2288</v>
      </c>
      <c r="I449" t="s">
        <v>2342</v>
      </c>
    </row>
    <row r="450" spans="1:9" ht="15">
      <c r="A450" s="186" t="s">
        <v>1459</v>
      </c>
      <c r="B450" s="188">
        <v>318.79199999999997</v>
      </c>
      <c r="C450" s="188">
        <v>0</v>
      </c>
      <c r="D450" s="188">
        <v>0</v>
      </c>
      <c r="E450" s="188">
        <v>318.79199999999997</v>
      </c>
      <c r="F450" s="188">
        <v>0</v>
      </c>
      <c r="G450" s="188">
        <v>0</v>
      </c>
      <c r="H450"/>
      <c r="I450"/>
    </row>
    <row r="451" spans="1:9" ht="15">
      <c r="A451" s="186" t="s">
        <v>1460</v>
      </c>
      <c r="B451" s="188">
        <v>0</v>
      </c>
      <c r="C451" s="188">
        <v>0</v>
      </c>
      <c r="D451" s="188">
        <v>208</v>
      </c>
      <c r="E451" s="188">
        <v>208</v>
      </c>
      <c r="F451" s="188">
        <v>0</v>
      </c>
      <c r="G451" s="188">
        <v>0</v>
      </c>
      <c r="H451"/>
      <c r="I451"/>
    </row>
    <row r="452" spans="1:9" ht="15">
      <c r="A452" s="186" t="s">
        <v>1461</v>
      </c>
      <c r="B452" s="188">
        <v>9600</v>
      </c>
      <c r="C452" s="188">
        <v>0</v>
      </c>
      <c r="D452" s="188">
        <v>8100</v>
      </c>
      <c r="E452" s="188">
        <v>0</v>
      </c>
      <c r="F452" s="188">
        <v>17700</v>
      </c>
      <c r="G452" s="188">
        <v>0</v>
      </c>
      <c r="H452" t="s">
        <v>2288</v>
      </c>
      <c r="I452" t="s">
        <v>2368</v>
      </c>
    </row>
    <row r="453" spans="1:9" ht="15">
      <c r="A453" s="186" t="s">
        <v>1462</v>
      </c>
      <c r="B453" s="188">
        <v>1458.00425</v>
      </c>
      <c r="C453" s="188">
        <v>0</v>
      </c>
      <c r="D453" s="188">
        <v>11084.570300000001</v>
      </c>
      <c r="E453" s="188">
        <v>12542.574550000001</v>
      </c>
      <c r="F453" s="188">
        <v>0</v>
      </c>
      <c r="G453" s="188">
        <v>0</v>
      </c>
      <c r="H453"/>
      <c r="I453"/>
    </row>
    <row r="454" spans="1:9" ht="15">
      <c r="A454" s="186" t="s">
        <v>1463</v>
      </c>
      <c r="B454" s="188">
        <v>0</v>
      </c>
      <c r="C454" s="188">
        <v>0</v>
      </c>
      <c r="D454" s="188">
        <v>392741.42381000001</v>
      </c>
      <c r="E454" s="188">
        <v>392741.42381000001</v>
      </c>
      <c r="F454" s="188">
        <v>0</v>
      </c>
      <c r="G454" s="188">
        <v>0</v>
      </c>
      <c r="H454"/>
      <c r="I454"/>
    </row>
    <row r="455" spans="1:9" ht="15">
      <c r="A455" s="186" t="s">
        <v>1464</v>
      </c>
      <c r="B455" s="188">
        <v>0</v>
      </c>
      <c r="C455" s="188">
        <v>0</v>
      </c>
      <c r="D455" s="188">
        <v>1963.13</v>
      </c>
      <c r="E455" s="188">
        <v>1963.13</v>
      </c>
      <c r="F455" s="188">
        <v>0</v>
      </c>
      <c r="G455" s="188">
        <v>0</v>
      </c>
      <c r="H455"/>
      <c r="I455"/>
    </row>
    <row r="456" spans="1:9" ht="15">
      <c r="A456" s="186" t="s">
        <v>1465</v>
      </c>
      <c r="B456" s="188">
        <v>0</v>
      </c>
      <c r="C456" s="188">
        <v>0</v>
      </c>
      <c r="D456" s="188">
        <v>959.76</v>
      </c>
      <c r="E456" s="188">
        <v>959.76</v>
      </c>
      <c r="F456" s="188">
        <v>0</v>
      </c>
      <c r="G456" s="188">
        <v>0</v>
      </c>
      <c r="H456"/>
      <c r="I456"/>
    </row>
    <row r="457" spans="1:9" ht="15">
      <c r="A457" s="186" t="s">
        <v>1466</v>
      </c>
      <c r="B457" s="188">
        <v>2455.1999999999998</v>
      </c>
      <c r="C457" s="188">
        <v>0</v>
      </c>
      <c r="D457" s="188">
        <v>2455.1999999999998</v>
      </c>
      <c r="E457" s="188">
        <v>2455.1999999999998</v>
      </c>
      <c r="F457" s="188">
        <v>2455.1999999999998</v>
      </c>
      <c r="G457" s="188">
        <v>0</v>
      </c>
      <c r="H457" t="s">
        <v>2164</v>
      </c>
      <c r="I457" t="s">
        <v>2369</v>
      </c>
    </row>
    <row r="458" spans="1:9" ht="15">
      <c r="A458" s="186" t="s">
        <v>1467</v>
      </c>
      <c r="B458" s="188">
        <v>0</v>
      </c>
      <c r="C458" s="188">
        <v>0</v>
      </c>
      <c r="D458" s="188">
        <v>1285.713</v>
      </c>
      <c r="E458" s="188">
        <v>1285.713</v>
      </c>
      <c r="F458" s="188">
        <v>0</v>
      </c>
      <c r="G458" s="188">
        <v>0</v>
      </c>
      <c r="H458"/>
      <c r="I458"/>
    </row>
    <row r="459" spans="1:9" ht="15">
      <c r="A459" s="186" t="s">
        <v>1468</v>
      </c>
      <c r="B459" s="188">
        <v>0</v>
      </c>
      <c r="C459" s="188">
        <v>0</v>
      </c>
      <c r="D459" s="188">
        <v>1721.0340000000001</v>
      </c>
      <c r="E459" s="188">
        <v>1721.0340000000001</v>
      </c>
      <c r="F459" s="188">
        <v>0</v>
      </c>
      <c r="G459" s="188">
        <v>0</v>
      </c>
      <c r="H459"/>
      <c r="I459"/>
    </row>
    <row r="460" spans="1:9" ht="15">
      <c r="A460" s="186" t="s">
        <v>1469</v>
      </c>
      <c r="B460" s="188">
        <v>0</v>
      </c>
      <c r="C460" s="188">
        <v>0</v>
      </c>
      <c r="D460" s="188">
        <v>141297.57751</v>
      </c>
      <c r="E460" s="188">
        <v>141297.57751</v>
      </c>
      <c r="F460" s="188">
        <v>0</v>
      </c>
      <c r="G460" s="188">
        <v>0</v>
      </c>
      <c r="H460"/>
      <c r="I460"/>
    </row>
    <row r="461" spans="1:9" ht="15">
      <c r="A461" s="186" t="s">
        <v>1470</v>
      </c>
      <c r="B461" s="188">
        <v>0</v>
      </c>
      <c r="C461" s="188">
        <v>0</v>
      </c>
      <c r="D461" s="188">
        <v>550</v>
      </c>
      <c r="E461" s="188">
        <v>550</v>
      </c>
      <c r="F461" s="188">
        <v>0</v>
      </c>
      <c r="G461" s="188">
        <v>0</v>
      </c>
      <c r="H461"/>
      <c r="I461"/>
    </row>
    <row r="462" spans="1:9" ht="15">
      <c r="A462" s="186" t="s">
        <v>1471</v>
      </c>
      <c r="B462" s="188">
        <v>811.3</v>
      </c>
      <c r="C462" s="188">
        <v>0</v>
      </c>
      <c r="D462" s="188">
        <v>1049.8</v>
      </c>
      <c r="E462" s="188">
        <v>1049.8</v>
      </c>
      <c r="F462" s="188">
        <v>811.3</v>
      </c>
      <c r="G462" s="188">
        <v>0</v>
      </c>
      <c r="H462" t="s">
        <v>2283</v>
      </c>
      <c r="I462" t="s">
        <v>2370</v>
      </c>
    </row>
    <row r="463" spans="1:9" ht="15">
      <c r="A463" s="186" t="s">
        <v>1472</v>
      </c>
      <c r="B463" s="188">
        <v>0</v>
      </c>
      <c r="C463" s="188">
        <v>0</v>
      </c>
      <c r="D463" s="188">
        <v>27863.875</v>
      </c>
      <c r="E463" s="188">
        <v>27863.875</v>
      </c>
      <c r="F463" s="188">
        <v>0</v>
      </c>
      <c r="G463" s="188">
        <v>0</v>
      </c>
      <c r="H463"/>
      <c r="I463"/>
    </row>
    <row r="464" spans="1:9" ht="15">
      <c r="A464" s="186" t="s">
        <v>1473</v>
      </c>
      <c r="B464" s="188">
        <v>0</v>
      </c>
      <c r="C464" s="188">
        <v>0</v>
      </c>
      <c r="D464" s="188">
        <v>760.05</v>
      </c>
      <c r="E464" s="188">
        <v>760.05</v>
      </c>
      <c r="F464" s="188">
        <v>0</v>
      </c>
      <c r="G464" s="188">
        <v>0</v>
      </c>
      <c r="H464"/>
      <c r="I464"/>
    </row>
    <row r="465" spans="1:9" ht="15">
      <c r="A465" s="186" t="s">
        <v>1474</v>
      </c>
      <c r="B465" s="188">
        <v>37.112000000000002</v>
      </c>
      <c r="C465" s="188">
        <v>0</v>
      </c>
      <c r="D465" s="188">
        <v>2625.65</v>
      </c>
      <c r="E465" s="188">
        <v>1430.1320000000001</v>
      </c>
      <c r="F465" s="188">
        <v>1232.6300000000001</v>
      </c>
      <c r="G465" s="188">
        <v>0</v>
      </c>
      <c r="H465" t="s">
        <v>2164</v>
      </c>
      <c r="I465" t="s">
        <v>2371</v>
      </c>
    </row>
    <row r="466" spans="1:9" ht="15">
      <c r="A466" s="186" t="s">
        <v>929</v>
      </c>
      <c r="B466" s="188">
        <v>0</v>
      </c>
      <c r="C466" s="188">
        <v>0</v>
      </c>
      <c r="D466" s="188">
        <v>67921.245999999999</v>
      </c>
      <c r="E466" s="188">
        <v>67921.245999999999</v>
      </c>
      <c r="F466" s="188">
        <v>0</v>
      </c>
      <c r="G466" s="188">
        <v>0</v>
      </c>
      <c r="H466"/>
      <c r="I466"/>
    </row>
    <row r="467" spans="1:9" ht="15">
      <c r="A467" s="186" t="s">
        <v>1475</v>
      </c>
      <c r="B467" s="188">
        <v>0</v>
      </c>
      <c r="C467" s="188">
        <v>0</v>
      </c>
      <c r="D467" s="188">
        <v>10000</v>
      </c>
      <c r="E467" s="188">
        <v>10000</v>
      </c>
      <c r="F467" s="188">
        <v>0</v>
      </c>
      <c r="G467" s="188">
        <v>0</v>
      </c>
      <c r="H467"/>
      <c r="I467"/>
    </row>
    <row r="468" spans="1:9" ht="15">
      <c r="A468" s="186" t="s">
        <v>703</v>
      </c>
      <c r="B468" s="188">
        <v>100000</v>
      </c>
      <c r="C468" s="188">
        <v>0</v>
      </c>
      <c r="D468" s="188">
        <v>830342.13271000003</v>
      </c>
      <c r="E468" s="188">
        <v>830342.13271000003</v>
      </c>
      <c r="F468" s="188">
        <v>100000</v>
      </c>
      <c r="G468" s="188">
        <v>0</v>
      </c>
      <c r="H468" t="s">
        <v>2164</v>
      </c>
      <c r="I468" t="s">
        <v>2372</v>
      </c>
    </row>
    <row r="469" spans="1:9" ht="15">
      <c r="A469" s="186" t="s">
        <v>1476</v>
      </c>
      <c r="B469" s="188">
        <v>350</v>
      </c>
      <c r="C469" s="188">
        <v>0</v>
      </c>
      <c r="D469" s="188">
        <v>364.7</v>
      </c>
      <c r="E469" s="188">
        <v>350</v>
      </c>
      <c r="F469" s="188">
        <v>364.7</v>
      </c>
      <c r="G469" s="188">
        <v>0</v>
      </c>
      <c r="H469" t="s">
        <v>2164</v>
      </c>
      <c r="I469" t="s">
        <v>2331</v>
      </c>
    </row>
    <row r="470" spans="1:9" ht="15">
      <c r="A470" s="186" t="s">
        <v>1477</v>
      </c>
      <c r="B470" s="188">
        <v>0</v>
      </c>
      <c r="C470" s="188">
        <v>0</v>
      </c>
      <c r="D470" s="188">
        <v>343.08</v>
      </c>
      <c r="E470" s="188">
        <v>343.08</v>
      </c>
      <c r="F470" s="188">
        <v>0</v>
      </c>
      <c r="G470" s="188">
        <v>0</v>
      </c>
      <c r="H470"/>
      <c r="I470"/>
    </row>
    <row r="471" spans="1:9" ht="15">
      <c r="A471" s="186" t="s">
        <v>1478</v>
      </c>
      <c r="B471" s="188">
        <v>0</v>
      </c>
      <c r="C471" s="188">
        <v>0</v>
      </c>
      <c r="D471" s="188">
        <v>154.44</v>
      </c>
      <c r="E471" s="188">
        <v>154.44</v>
      </c>
      <c r="F471" s="188">
        <v>0</v>
      </c>
      <c r="G471" s="188">
        <v>0</v>
      </c>
      <c r="H471"/>
      <c r="I471"/>
    </row>
    <row r="472" spans="1:9" ht="15">
      <c r="A472" s="186" t="s">
        <v>1479</v>
      </c>
      <c r="B472" s="188">
        <v>0</v>
      </c>
      <c r="C472" s="188">
        <v>0</v>
      </c>
      <c r="D472" s="188">
        <v>90</v>
      </c>
      <c r="E472" s="188">
        <v>90</v>
      </c>
      <c r="F472" s="188">
        <v>0</v>
      </c>
      <c r="G472" s="188">
        <v>0</v>
      </c>
      <c r="H472"/>
      <c r="I472"/>
    </row>
    <row r="473" spans="1:9" ht="15">
      <c r="A473" s="186" t="s">
        <v>1480</v>
      </c>
      <c r="B473" s="188">
        <v>11345</v>
      </c>
      <c r="C473" s="188">
        <v>0</v>
      </c>
      <c r="D473" s="188">
        <v>312.64999999999998</v>
      </c>
      <c r="E473" s="188">
        <v>11640.04</v>
      </c>
      <c r="F473" s="188">
        <v>17.61</v>
      </c>
      <c r="G473" s="188">
        <v>0</v>
      </c>
      <c r="H473" t="s">
        <v>2164</v>
      </c>
      <c r="I473" t="s">
        <v>2373</v>
      </c>
    </row>
    <row r="474" spans="1:9" ht="15">
      <c r="A474" s="186" t="s">
        <v>1481</v>
      </c>
      <c r="B474" s="188">
        <v>0</v>
      </c>
      <c r="C474" s="188">
        <v>0</v>
      </c>
      <c r="D474" s="188">
        <v>824</v>
      </c>
      <c r="E474" s="188">
        <v>824</v>
      </c>
      <c r="F474" s="188">
        <v>0</v>
      </c>
      <c r="G474" s="188">
        <v>0</v>
      </c>
      <c r="H474"/>
      <c r="I474"/>
    </row>
    <row r="475" spans="1:9" ht="15">
      <c r="A475" s="186" t="s">
        <v>1482</v>
      </c>
      <c r="B475" s="188">
        <v>0</v>
      </c>
      <c r="C475" s="188">
        <v>0</v>
      </c>
      <c r="D475" s="188">
        <v>1.05</v>
      </c>
      <c r="E475" s="188">
        <v>1.05</v>
      </c>
      <c r="F475" s="188">
        <v>0</v>
      </c>
      <c r="G475" s="188">
        <v>0</v>
      </c>
      <c r="H475"/>
      <c r="I475"/>
    </row>
    <row r="476" spans="1:9" ht="15">
      <c r="A476" s="186" t="s">
        <v>1483</v>
      </c>
      <c r="B476" s="188">
        <v>0</v>
      </c>
      <c r="C476" s="188">
        <v>0</v>
      </c>
      <c r="D476" s="188">
        <v>56.654000000000003</v>
      </c>
      <c r="E476" s="188">
        <v>56.654000000000003</v>
      </c>
      <c r="F476" s="188">
        <v>0</v>
      </c>
      <c r="G476" s="188">
        <v>0</v>
      </c>
      <c r="H476"/>
      <c r="I476"/>
    </row>
    <row r="477" spans="1:9" ht="15">
      <c r="A477" s="186" t="s">
        <v>1484</v>
      </c>
      <c r="B477" s="188">
        <v>0</v>
      </c>
      <c r="C477" s="188">
        <v>0</v>
      </c>
      <c r="D477" s="188">
        <v>1050</v>
      </c>
      <c r="E477" s="188">
        <v>1050</v>
      </c>
      <c r="F477" s="188">
        <v>0</v>
      </c>
      <c r="G477" s="188">
        <v>0</v>
      </c>
      <c r="H477"/>
      <c r="I477"/>
    </row>
    <row r="478" spans="1:9" ht="15">
      <c r="A478" s="186" t="s">
        <v>1485</v>
      </c>
      <c r="B478" s="188">
        <v>0</v>
      </c>
      <c r="C478" s="188">
        <v>0</v>
      </c>
      <c r="D478" s="188">
        <v>375</v>
      </c>
      <c r="E478" s="188">
        <v>375</v>
      </c>
      <c r="F478" s="188">
        <v>0</v>
      </c>
      <c r="G478" s="188">
        <v>0</v>
      </c>
      <c r="H478"/>
      <c r="I478"/>
    </row>
    <row r="479" spans="1:9" ht="15">
      <c r="A479" s="186" t="s">
        <v>1486</v>
      </c>
      <c r="B479" s="188">
        <v>0</v>
      </c>
      <c r="C479" s="188">
        <v>0</v>
      </c>
      <c r="D479" s="188">
        <v>991.32399999999996</v>
      </c>
      <c r="E479" s="188">
        <v>991.32399999999996</v>
      </c>
      <c r="F479" s="188">
        <v>0</v>
      </c>
      <c r="G479" s="188">
        <v>0</v>
      </c>
      <c r="H479"/>
      <c r="I479"/>
    </row>
    <row r="480" spans="1:9" ht="15">
      <c r="A480" s="186" t="s">
        <v>1487</v>
      </c>
      <c r="B480" s="188">
        <v>0</v>
      </c>
      <c r="C480" s="188">
        <v>0</v>
      </c>
      <c r="D480" s="188">
        <v>3356.6125999999999</v>
      </c>
      <c r="E480" s="188">
        <v>3356.6125999999999</v>
      </c>
      <c r="F480" s="188">
        <v>0</v>
      </c>
      <c r="G480" s="188">
        <v>0</v>
      </c>
      <c r="H480"/>
      <c r="I480"/>
    </row>
    <row r="481" spans="1:9" ht="15">
      <c r="A481" s="186" t="s">
        <v>1488</v>
      </c>
      <c r="B481" s="188">
        <v>0</v>
      </c>
      <c r="C481" s="188">
        <v>0</v>
      </c>
      <c r="D481" s="188">
        <v>2.8587600000000002</v>
      </c>
      <c r="E481" s="188">
        <v>2.8587600000000002</v>
      </c>
      <c r="F481" s="188">
        <v>0</v>
      </c>
      <c r="G481" s="188">
        <v>0</v>
      </c>
      <c r="H481"/>
      <c r="I481"/>
    </row>
    <row r="482" spans="1:9" ht="15">
      <c r="A482" s="186" t="s">
        <v>1489</v>
      </c>
      <c r="B482" s="188">
        <v>0</v>
      </c>
      <c r="C482" s="188">
        <v>0</v>
      </c>
      <c r="D482" s="188">
        <v>526.4</v>
      </c>
      <c r="E482" s="188">
        <v>526.4</v>
      </c>
      <c r="F482" s="188">
        <v>0</v>
      </c>
      <c r="G482" s="188">
        <v>0</v>
      </c>
      <c r="H482"/>
      <c r="I482"/>
    </row>
    <row r="483" spans="1:9" ht="15">
      <c r="A483" s="186" t="s">
        <v>1490</v>
      </c>
      <c r="B483" s="188">
        <v>0</v>
      </c>
      <c r="C483" s="188">
        <v>0</v>
      </c>
      <c r="D483" s="188">
        <v>4202.63</v>
      </c>
      <c r="E483" s="188">
        <v>4202.63</v>
      </c>
      <c r="F483" s="188">
        <v>0</v>
      </c>
      <c r="G483" s="188">
        <v>0</v>
      </c>
      <c r="H483"/>
      <c r="I483"/>
    </row>
    <row r="484" spans="1:9" ht="15">
      <c r="A484" s="186" t="s">
        <v>1491</v>
      </c>
      <c r="B484" s="188">
        <v>33.770000000000003</v>
      </c>
      <c r="C484" s="188">
        <v>0</v>
      </c>
      <c r="D484" s="188">
        <v>628</v>
      </c>
      <c r="E484" s="188">
        <v>627.95000000000005</v>
      </c>
      <c r="F484" s="188">
        <v>33.82</v>
      </c>
      <c r="G484" s="188">
        <v>0</v>
      </c>
      <c r="H484" t="s">
        <v>2288</v>
      </c>
      <c r="I484" t="s">
        <v>2342</v>
      </c>
    </row>
    <row r="485" spans="1:9" ht="15">
      <c r="A485" s="186" t="s">
        <v>1492</v>
      </c>
      <c r="B485" s="188">
        <v>0</v>
      </c>
      <c r="C485" s="188">
        <v>0</v>
      </c>
      <c r="D485" s="188">
        <v>50.286000000000001</v>
      </c>
      <c r="E485" s="188">
        <v>50.286000000000001</v>
      </c>
      <c r="F485" s="188">
        <v>0</v>
      </c>
      <c r="G485" s="188">
        <v>0</v>
      </c>
      <c r="H485"/>
      <c r="I485"/>
    </row>
    <row r="486" spans="1:9" ht="15">
      <c r="A486" s="186" t="s">
        <v>1493</v>
      </c>
      <c r="B486" s="188">
        <v>20.701330000000002</v>
      </c>
      <c r="C486" s="188">
        <v>0</v>
      </c>
      <c r="D486" s="188">
        <v>10582.02159</v>
      </c>
      <c r="E486" s="188">
        <v>10582.02159</v>
      </c>
      <c r="F486" s="188">
        <v>20.701330000000002</v>
      </c>
      <c r="G486" s="188">
        <v>0</v>
      </c>
      <c r="H486" t="s">
        <v>2164</v>
      </c>
      <c r="I486" t="s">
        <v>2361</v>
      </c>
    </row>
    <row r="487" spans="1:9" ht="15">
      <c r="A487" s="186" t="s">
        <v>1494</v>
      </c>
      <c r="B487" s="188">
        <v>444.17200000000003</v>
      </c>
      <c r="C487" s="188">
        <v>0</v>
      </c>
      <c r="D487" s="188">
        <v>300.935</v>
      </c>
      <c r="E487" s="188">
        <v>601.87</v>
      </c>
      <c r="F487" s="188">
        <v>143.23699999999999</v>
      </c>
      <c r="G487" s="188">
        <v>0</v>
      </c>
      <c r="H487" t="s">
        <v>2288</v>
      </c>
      <c r="I487" t="s">
        <v>2374</v>
      </c>
    </row>
    <row r="488" spans="1:9" ht="15">
      <c r="A488" s="186" t="s">
        <v>1495</v>
      </c>
      <c r="B488" s="188">
        <v>0</v>
      </c>
      <c r="C488" s="188">
        <v>0</v>
      </c>
      <c r="D488" s="188">
        <v>792.5</v>
      </c>
      <c r="E488" s="188">
        <v>792.5</v>
      </c>
      <c r="F488" s="188">
        <v>0</v>
      </c>
      <c r="G488" s="188">
        <v>0</v>
      </c>
      <c r="H488"/>
      <c r="I488"/>
    </row>
    <row r="489" spans="1:9" ht="15">
      <c r="A489" s="186" t="s">
        <v>1496</v>
      </c>
      <c r="B489" s="188">
        <v>160</v>
      </c>
      <c r="C489" s="188">
        <v>0</v>
      </c>
      <c r="D489" s="188">
        <v>824.5</v>
      </c>
      <c r="E489" s="188">
        <v>500</v>
      </c>
      <c r="F489" s="188">
        <v>484.5</v>
      </c>
      <c r="G489" s="188">
        <v>0</v>
      </c>
      <c r="H489" t="s">
        <v>2288</v>
      </c>
      <c r="I489" t="s">
        <v>2375</v>
      </c>
    </row>
    <row r="490" spans="1:9" ht="15">
      <c r="A490" s="186" t="s">
        <v>1497</v>
      </c>
      <c r="B490" s="188">
        <v>84.700039999999987</v>
      </c>
      <c r="C490" s="188">
        <v>0</v>
      </c>
      <c r="D490" s="188">
        <v>0</v>
      </c>
      <c r="E490" s="188">
        <v>84.700020000000009</v>
      </c>
      <c r="F490" s="188">
        <v>2.0000000000000002E-5</v>
      </c>
      <c r="G490" s="188">
        <v>0</v>
      </c>
      <c r="H490"/>
      <c r="I490"/>
    </row>
    <row r="491" spans="1:9" ht="15">
      <c r="A491" s="186" t="s">
        <v>1498</v>
      </c>
      <c r="B491" s="188">
        <v>589.80600000000004</v>
      </c>
      <c r="C491" s="188">
        <v>0</v>
      </c>
      <c r="D491" s="188">
        <v>22098.986940000003</v>
      </c>
      <c r="E491" s="188">
        <v>22688.792940000003</v>
      </c>
      <c r="F491" s="188">
        <v>0</v>
      </c>
      <c r="G491" s="188">
        <v>0</v>
      </c>
      <c r="H491"/>
      <c r="I491"/>
    </row>
    <row r="492" spans="1:9" ht="15">
      <c r="A492" s="186" t="s">
        <v>1499</v>
      </c>
      <c r="B492" s="188">
        <v>260.92</v>
      </c>
      <c r="C492" s="188">
        <v>0</v>
      </c>
      <c r="D492" s="188">
        <v>731.5</v>
      </c>
      <c r="E492" s="188">
        <v>731.5</v>
      </c>
      <c r="F492" s="188">
        <v>260.92</v>
      </c>
      <c r="G492" s="188">
        <v>0</v>
      </c>
      <c r="H492" t="s">
        <v>2288</v>
      </c>
      <c r="I492" t="s">
        <v>2376</v>
      </c>
    </row>
    <row r="493" spans="1:9" ht="15">
      <c r="A493" s="186" t="s">
        <v>1500</v>
      </c>
      <c r="B493" s="188">
        <v>0</v>
      </c>
      <c r="C493" s="188">
        <v>0</v>
      </c>
      <c r="D493" s="188">
        <v>16759.871999999999</v>
      </c>
      <c r="E493" s="188">
        <v>16759.871999999999</v>
      </c>
      <c r="F493" s="188">
        <v>0</v>
      </c>
      <c r="G493" s="188">
        <v>0</v>
      </c>
      <c r="H493"/>
      <c r="I493"/>
    </row>
    <row r="494" spans="1:9" ht="15">
      <c r="A494" s="186" t="s">
        <v>1501</v>
      </c>
      <c r="B494" s="188">
        <v>0</v>
      </c>
      <c r="C494" s="188">
        <v>0</v>
      </c>
      <c r="D494" s="188">
        <v>129355.38104000001</v>
      </c>
      <c r="E494" s="188">
        <v>129355.38104000001</v>
      </c>
      <c r="F494" s="188">
        <v>0</v>
      </c>
      <c r="G494" s="188">
        <v>0</v>
      </c>
      <c r="H494"/>
      <c r="I494"/>
    </row>
    <row r="495" spans="1:9" ht="15">
      <c r="A495" s="186" t="s">
        <v>1502</v>
      </c>
      <c r="B495" s="188">
        <v>0</v>
      </c>
      <c r="C495" s="188">
        <v>0</v>
      </c>
      <c r="D495" s="188">
        <v>311.94</v>
      </c>
      <c r="E495" s="188">
        <v>0</v>
      </c>
      <c r="F495" s="188">
        <v>311.94</v>
      </c>
      <c r="G495" s="188">
        <v>0</v>
      </c>
      <c r="H495" t="s">
        <v>2164</v>
      </c>
      <c r="I495" t="s">
        <v>2331</v>
      </c>
    </row>
    <row r="496" spans="1:9" ht="15">
      <c r="A496" s="186" t="s">
        <v>1503</v>
      </c>
      <c r="B496" s="188">
        <v>0</v>
      </c>
      <c r="C496" s="188">
        <v>0</v>
      </c>
      <c r="D496" s="188">
        <v>356.96499999999997</v>
      </c>
      <c r="E496" s="188">
        <v>356.96499999999997</v>
      </c>
      <c r="F496" s="188">
        <v>0</v>
      </c>
      <c r="G496" s="188">
        <v>0</v>
      </c>
      <c r="H496"/>
      <c r="I496"/>
    </row>
    <row r="497" spans="1:9" ht="15">
      <c r="A497" s="186" t="s">
        <v>1504</v>
      </c>
      <c r="B497" s="188">
        <v>1035.8499999999999</v>
      </c>
      <c r="C497" s="188">
        <v>0</v>
      </c>
      <c r="D497" s="188">
        <v>4530.43</v>
      </c>
      <c r="E497" s="188">
        <v>1747.7</v>
      </c>
      <c r="F497" s="188">
        <v>3818.58</v>
      </c>
      <c r="G497" s="188">
        <v>0</v>
      </c>
      <c r="H497" t="s">
        <v>2288</v>
      </c>
      <c r="I497" t="s">
        <v>2377</v>
      </c>
    </row>
    <row r="498" spans="1:9" ht="15">
      <c r="A498" s="186" t="s">
        <v>1505</v>
      </c>
      <c r="B498" s="188">
        <v>0</v>
      </c>
      <c r="C498" s="188">
        <v>0</v>
      </c>
      <c r="D498" s="188">
        <v>56</v>
      </c>
      <c r="E498" s="188">
        <v>56</v>
      </c>
      <c r="F498" s="188">
        <v>0</v>
      </c>
      <c r="G498" s="188">
        <v>0</v>
      </c>
      <c r="H498"/>
      <c r="I498"/>
    </row>
    <row r="499" spans="1:9" ht="15">
      <c r="A499" s="186" t="s">
        <v>1506</v>
      </c>
      <c r="B499" s="188">
        <v>1900</v>
      </c>
      <c r="C499" s="188">
        <v>0</v>
      </c>
      <c r="D499" s="188">
        <v>0</v>
      </c>
      <c r="E499" s="188">
        <v>0</v>
      </c>
      <c r="F499" s="188">
        <v>1900</v>
      </c>
      <c r="G499" s="188">
        <v>0</v>
      </c>
      <c r="H499" t="s">
        <v>2288</v>
      </c>
      <c r="I499" t="s">
        <v>2376</v>
      </c>
    </row>
    <row r="500" spans="1:9" ht="15">
      <c r="A500" s="186" t="s">
        <v>1507</v>
      </c>
      <c r="B500" s="188">
        <v>0</v>
      </c>
      <c r="C500" s="188">
        <v>0</v>
      </c>
      <c r="D500" s="188">
        <v>1950</v>
      </c>
      <c r="E500" s="188">
        <v>1950</v>
      </c>
      <c r="F500" s="188">
        <v>0</v>
      </c>
      <c r="G500" s="188">
        <v>0</v>
      </c>
      <c r="H500"/>
      <c r="I500"/>
    </row>
    <row r="501" spans="1:9" ht="15">
      <c r="A501" s="186" t="s">
        <v>1508</v>
      </c>
      <c r="B501" s="188">
        <v>0</v>
      </c>
      <c r="C501" s="188">
        <v>0</v>
      </c>
      <c r="D501" s="188">
        <v>31877.62297</v>
      </c>
      <c r="E501" s="188">
        <v>31877.62297</v>
      </c>
      <c r="F501" s="188">
        <v>0</v>
      </c>
      <c r="G501" s="188">
        <v>0</v>
      </c>
      <c r="H501"/>
      <c r="I501"/>
    </row>
    <row r="502" spans="1:9" ht="15">
      <c r="A502" s="186" t="s">
        <v>1509</v>
      </c>
      <c r="B502" s="188">
        <v>0</v>
      </c>
      <c r="C502" s="188">
        <v>0</v>
      </c>
      <c r="D502" s="188">
        <v>1113.25</v>
      </c>
      <c r="E502" s="188">
        <v>787.65</v>
      </c>
      <c r="F502" s="188">
        <v>325.60000000000002</v>
      </c>
      <c r="G502" s="188">
        <v>0</v>
      </c>
      <c r="H502" t="s">
        <v>2288</v>
      </c>
      <c r="I502" t="s">
        <v>2378</v>
      </c>
    </row>
    <row r="503" spans="1:9" ht="15">
      <c r="A503" s="186" t="s">
        <v>1510</v>
      </c>
      <c r="B503" s="188">
        <v>2665.172</v>
      </c>
      <c r="C503" s="188">
        <v>0</v>
      </c>
      <c r="D503" s="188">
        <v>2665.172</v>
      </c>
      <c r="E503" s="188">
        <v>5330.3440000000001</v>
      </c>
      <c r="F503" s="188">
        <v>0</v>
      </c>
      <c r="G503" s="188">
        <v>0</v>
      </c>
      <c r="H503"/>
      <c r="I503"/>
    </row>
    <row r="504" spans="1:9" ht="15">
      <c r="A504" s="186" t="s">
        <v>1511</v>
      </c>
      <c r="B504" s="188">
        <v>0</v>
      </c>
      <c r="C504" s="188">
        <v>0</v>
      </c>
      <c r="D504" s="188">
        <v>2660.8069999999998</v>
      </c>
      <c r="E504" s="188">
        <v>2660.8069999999998</v>
      </c>
      <c r="F504" s="188">
        <v>0</v>
      </c>
      <c r="G504" s="188">
        <v>0</v>
      </c>
      <c r="H504"/>
      <c r="I504"/>
    </row>
    <row r="505" spans="1:9" ht="15">
      <c r="A505" s="186" t="s">
        <v>1512</v>
      </c>
      <c r="B505" s="188">
        <v>0</v>
      </c>
      <c r="C505" s="188">
        <v>0</v>
      </c>
      <c r="D505" s="188">
        <v>325</v>
      </c>
      <c r="E505" s="188">
        <v>0</v>
      </c>
      <c r="F505" s="188">
        <v>325</v>
      </c>
      <c r="G505" s="188">
        <v>0</v>
      </c>
      <c r="H505" t="s">
        <v>2288</v>
      </c>
      <c r="I505" t="s">
        <v>2325</v>
      </c>
    </row>
    <row r="506" spans="1:9" ht="15">
      <c r="A506" s="186" t="s">
        <v>1513</v>
      </c>
      <c r="B506" s="188">
        <v>0</v>
      </c>
      <c r="C506" s="188">
        <v>0</v>
      </c>
      <c r="D506" s="188">
        <v>5975.848</v>
      </c>
      <c r="E506" s="188">
        <v>5975.848</v>
      </c>
      <c r="F506" s="188">
        <v>0</v>
      </c>
      <c r="G506" s="188">
        <v>0</v>
      </c>
      <c r="H506"/>
      <c r="I506"/>
    </row>
    <row r="507" spans="1:9" ht="15">
      <c r="A507" s="186" t="s">
        <v>1514</v>
      </c>
      <c r="B507" s="188">
        <v>1159.134</v>
      </c>
      <c r="C507" s="188">
        <v>0</v>
      </c>
      <c r="D507" s="188">
        <v>2046.2</v>
      </c>
      <c r="E507" s="188">
        <v>1282.134</v>
      </c>
      <c r="F507" s="188">
        <v>1923.2</v>
      </c>
      <c r="G507" s="188">
        <v>0</v>
      </c>
      <c r="H507" t="s">
        <v>2164</v>
      </c>
      <c r="I507" t="s">
        <v>2331</v>
      </c>
    </row>
    <row r="508" spans="1:9" ht="15">
      <c r="A508" s="186" t="s">
        <v>1515</v>
      </c>
      <c r="B508" s="188">
        <v>0</v>
      </c>
      <c r="C508" s="188">
        <v>0</v>
      </c>
      <c r="D508" s="188">
        <v>23886.171690000003</v>
      </c>
      <c r="E508" s="188">
        <v>23886.171690000003</v>
      </c>
      <c r="F508" s="188">
        <v>0</v>
      </c>
      <c r="G508" s="188">
        <v>0</v>
      </c>
      <c r="H508"/>
      <c r="I508"/>
    </row>
    <row r="509" spans="1:9" ht="15">
      <c r="A509" s="186" t="s">
        <v>1516</v>
      </c>
      <c r="B509" s="188">
        <v>0</v>
      </c>
      <c r="C509" s="188">
        <v>0</v>
      </c>
      <c r="D509" s="188">
        <v>14135.85</v>
      </c>
      <c r="E509" s="188">
        <v>14135.85</v>
      </c>
      <c r="F509" s="188">
        <v>0</v>
      </c>
      <c r="G509" s="188">
        <v>0</v>
      </c>
      <c r="H509"/>
      <c r="I509"/>
    </row>
    <row r="510" spans="1:9" ht="15">
      <c r="A510" s="186" t="s">
        <v>1517</v>
      </c>
      <c r="B510" s="188">
        <v>0</v>
      </c>
      <c r="C510" s="188">
        <v>0</v>
      </c>
      <c r="D510" s="188">
        <v>3208.8</v>
      </c>
      <c r="E510" s="188">
        <v>3208.8</v>
      </c>
      <c r="F510" s="188">
        <v>0</v>
      </c>
      <c r="G510" s="188">
        <v>0</v>
      </c>
      <c r="H510"/>
      <c r="I510"/>
    </row>
    <row r="511" spans="1:9" ht="15">
      <c r="A511" s="186" t="s">
        <v>1518</v>
      </c>
      <c r="B511" s="188">
        <v>0</v>
      </c>
      <c r="C511" s="188">
        <v>0</v>
      </c>
      <c r="D511" s="188">
        <v>70740</v>
      </c>
      <c r="E511" s="188">
        <v>70740</v>
      </c>
      <c r="F511" s="188">
        <v>0</v>
      </c>
      <c r="G511" s="188">
        <v>0</v>
      </c>
      <c r="H511"/>
      <c r="I511"/>
    </row>
    <row r="512" spans="1:9" ht="15">
      <c r="A512" s="186" t="s">
        <v>1519</v>
      </c>
      <c r="B512" s="188">
        <v>0</v>
      </c>
      <c r="C512" s="188">
        <v>0</v>
      </c>
      <c r="D512" s="188">
        <v>6435.0249999999996</v>
      </c>
      <c r="E512" s="188">
        <v>6435.0249999999996</v>
      </c>
      <c r="F512" s="188">
        <v>0</v>
      </c>
      <c r="G512" s="188">
        <v>0</v>
      </c>
      <c r="H512"/>
      <c r="I512"/>
    </row>
    <row r="513" spans="1:9" ht="15">
      <c r="A513" s="186" t="s">
        <v>1520</v>
      </c>
      <c r="B513" s="188">
        <v>0</v>
      </c>
      <c r="C513" s="188">
        <v>0</v>
      </c>
      <c r="D513" s="188">
        <v>300</v>
      </c>
      <c r="E513" s="188">
        <v>300</v>
      </c>
      <c r="F513" s="188">
        <v>0</v>
      </c>
      <c r="G513" s="188">
        <v>0</v>
      </c>
      <c r="H513"/>
      <c r="I513"/>
    </row>
    <row r="514" spans="1:9" ht="15">
      <c r="A514" s="186" t="s">
        <v>1521</v>
      </c>
      <c r="B514" s="188">
        <v>12326.72307</v>
      </c>
      <c r="C514" s="188">
        <v>0</v>
      </c>
      <c r="D514" s="188">
        <v>155298.08699000001</v>
      </c>
      <c r="E514" s="188">
        <v>167624.81005999999</v>
      </c>
      <c r="F514" s="188">
        <v>0</v>
      </c>
      <c r="G514" s="188">
        <v>0</v>
      </c>
      <c r="H514"/>
      <c r="I514"/>
    </row>
    <row r="515" spans="1:9" ht="15">
      <c r="A515" s="186" t="s">
        <v>941</v>
      </c>
      <c r="B515" s="188">
        <v>300.04000000000002</v>
      </c>
      <c r="C515" s="188">
        <v>0</v>
      </c>
      <c r="D515" s="188">
        <v>2863.7645000000002</v>
      </c>
      <c r="E515" s="188">
        <v>3163.8045000000002</v>
      </c>
      <c r="F515" s="188">
        <v>0</v>
      </c>
      <c r="G515" s="188">
        <v>0</v>
      </c>
      <c r="H515"/>
      <c r="I515"/>
    </row>
    <row r="516" spans="1:9" ht="15">
      <c r="A516" s="186" t="s">
        <v>1522</v>
      </c>
      <c r="B516" s="188">
        <v>0</v>
      </c>
      <c r="C516" s="188">
        <v>0</v>
      </c>
      <c r="D516" s="188">
        <v>90.4</v>
      </c>
      <c r="E516" s="188">
        <v>90.4</v>
      </c>
      <c r="F516" s="188">
        <v>0</v>
      </c>
      <c r="G516" s="188">
        <v>0</v>
      </c>
      <c r="H516"/>
      <c r="I516"/>
    </row>
    <row r="517" spans="1:9" ht="15">
      <c r="A517" s="186" t="s">
        <v>1523</v>
      </c>
      <c r="B517" s="188">
        <v>55</v>
      </c>
      <c r="C517" s="188">
        <v>0</v>
      </c>
      <c r="D517" s="188">
        <v>0</v>
      </c>
      <c r="E517" s="188">
        <v>0</v>
      </c>
      <c r="F517" s="188">
        <v>55</v>
      </c>
      <c r="G517" s="188">
        <v>0</v>
      </c>
      <c r="H517" t="s">
        <v>2164</v>
      </c>
      <c r="I517" t="s">
        <v>2379</v>
      </c>
    </row>
    <row r="518" spans="1:9" ht="15">
      <c r="A518" s="186" t="s">
        <v>1524</v>
      </c>
      <c r="B518" s="188">
        <v>0</v>
      </c>
      <c r="C518" s="188">
        <v>0</v>
      </c>
      <c r="D518" s="188">
        <v>666.125</v>
      </c>
      <c r="E518" s="188">
        <v>666.125</v>
      </c>
      <c r="F518" s="188">
        <v>0</v>
      </c>
      <c r="G518" s="188">
        <v>0</v>
      </c>
      <c r="H518"/>
      <c r="I518"/>
    </row>
    <row r="519" spans="1:9" ht="15">
      <c r="A519" s="186" t="s">
        <v>1525</v>
      </c>
      <c r="B519" s="188">
        <v>31.28</v>
      </c>
      <c r="C519" s="188">
        <v>0</v>
      </c>
      <c r="D519" s="188">
        <v>605.19000000000005</v>
      </c>
      <c r="E519" s="188">
        <v>605.19000000000005</v>
      </c>
      <c r="F519" s="188">
        <v>31.28</v>
      </c>
      <c r="G519" s="188">
        <v>0</v>
      </c>
      <c r="H519" t="s">
        <v>2288</v>
      </c>
      <c r="I519" t="s">
        <v>2380</v>
      </c>
    </row>
    <row r="520" spans="1:9" ht="15">
      <c r="A520" s="186" t="s">
        <v>1526</v>
      </c>
      <c r="B520" s="188">
        <v>0</v>
      </c>
      <c r="C520" s="188">
        <v>0</v>
      </c>
      <c r="D520" s="188">
        <v>476.09199999999998</v>
      </c>
      <c r="E520" s="188">
        <v>476.09199999999998</v>
      </c>
      <c r="F520" s="188">
        <v>0</v>
      </c>
      <c r="G520" s="188">
        <v>0</v>
      </c>
      <c r="H520"/>
      <c r="I520"/>
    </row>
    <row r="521" spans="1:9" ht="15">
      <c r="A521" s="186" t="s">
        <v>1527</v>
      </c>
      <c r="B521" s="188">
        <v>359.27499999999998</v>
      </c>
      <c r="C521" s="188">
        <v>0</v>
      </c>
      <c r="D521" s="188">
        <v>0</v>
      </c>
      <c r="E521" s="188">
        <v>0</v>
      </c>
      <c r="F521" s="188">
        <v>359.27499999999998</v>
      </c>
      <c r="G521" s="188">
        <v>0</v>
      </c>
      <c r="H521" t="s">
        <v>2288</v>
      </c>
      <c r="I521" t="s">
        <v>2378</v>
      </c>
    </row>
    <row r="522" spans="1:9" ht="15">
      <c r="A522" s="186" t="s">
        <v>1528</v>
      </c>
      <c r="B522" s="188">
        <v>0</v>
      </c>
      <c r="C522" s="188">
        <v>0</v>
      </c>
      <c r="D522" s="188">
        <v>30</v>
      </c>
      <c r="E522" s="188">
        <v>30</v>
      </c>
      <c r="F522" s="188">
        <v>0</v>
      </c>
      <c r="G522" s="188">
        <v>0</v>
      </c>
      <c r="H522"/>
      <c r="I522"/>
    </row>
    <row r="523" spans="1:9" ht="15">
      <c r="A523" s="186" t="s">
        <v>1529</v>
      </c>
      <c r="B523" s="188">
        <v>0</v>
      </c>
      <c r="C523" s="188">
        <v>0</v>
      </c>
      <c r="D523" s="188">
        <v>1650.15</v>
      </c>
      <c r="E523" s="188">
        <v>1650.15</v>
      </c>
      <c r="F523" s="188">
        <v>0</v>
      </c>
      <c r="G523" s="188">
        <v>0</v>
      </c>
      <c r="H523"/>
      <c r="I523"/>
    </row>
    <row r="524" spans="1:9" ht="15">
      <c r="A524" s="186" t="s">
        <v>1530</v>
      </c>
      <c r="B524" s="188">
        <v>0</v>
      </c>
      <c r="C524" s="188">
        <v>0</v>
      </c>
      <c r="D524" s="188">
        <v>4126.9650000000001</v>
      </c>
      <c r="E524" s="188">
        <v>4126.9650000000001</v>
      </c>
      <c r="F524" s="188">
        <v>0</v>
      </c>
      <c r="G524" s="188">
        <v>0</v>
      </c>
      <c r="H524"/>
      <c r="I524"/>
    </row>
    <row r="525" spans="1:9" ht="15">
      <c r="A525" s="186" t="s">
        <v>1531</v>
      </c>
      <c r="B525" s="188">
        <v>137.52000000000001</v>
      </c>
      <c r="C525" s="188">
        <v>0</v>
      </c>
      <c r="D525" s="188">
        <v>0</v>
      </c>
      <c r="E525" s="188">
        <v>0</v>
      </c>
      <c r="F525" s="188">
        <v>137.52000000000001</v>
      </c>
      <c r="G525" s="188">
        <v>0</v>
      </c>
      <c r="H525" t="s">
        <v>2288</v>
      </c>
      <c r="I525" t="s">
        <v>2349</v>
      </c>
    </row>
    <row r="526" spans="1:9" ht="15">
      <c r="A526" s="186" t="s">
        <v>1532</v>
      </c>
      <c r="B526" s="188">
        <v>0</v>
      </c>
      <c r="C526" s="188">
        <v>0</v>
      </c>
      <c r="D526" s="188">
        <v>702385.54536999995</v>
      </c>
      <c r="E526" s="188">
        <v>702385.54536999995</v>
      </c>
      <c r="F526" s="188">
        <v>0</v>
      </c>
      <c r="G526" s="188">
        <v>0</v>
      </c>
      <c r="H526"/>
      <c r="I526"/>
    </row>
    <row r="527" spans="1:9" ht="15">
      <c r="A527" s="186" t="s">
        <v>1533</v>
      </c>
      <c r="B527" s="188">
        <v>0</v>
      </c>
      <c r="C527" s="188">
        <v>0</v>
      </c>
      <c r="D527" s="188">
        <v>435</v>
      </c>
      <c r="E527" s="188">
        <v>121</v>
      </c>
      <c r="F527" s="188">
        <v>314</v>
      </c>
      <c r="G527" s="188">
        <v>0</v>
      </c>
      <c r="H527" t="s">
        <v>2164</v>
      </c>
      <c r="I527" t="s">
        <v>2331</v>
      </c>
    </row>
    <row r="528" spans="1:9" ht="15">
      <c r="A528" s="186" t="s">
        <v>1534</v>
      </c>
      <c r="B528" s="188">
        <v>0</v>
      </c>
      <c r="C528" s="188">
        <v>0</v>
      </c>
      <c r="D528" s="188">
        <v>53.1</v>
      </c>
      <c r="E528" s="188">
        <v>53.1</v>
      </c>
      <c r="F528" s="188">
        <v>0</v>
      </c>
      <c r="G528" s="188">
        <v>0</v>
      </c>
      <c r="H528"/>
      <c r="I528"/>
    </row>
    <row r="529" spans="1:9" ht="15">
      <c r="A529" s="186" t="s">
        <v>1534</v>
      </c>
      <c r="B529" s="188">
        <v>0</v>
      </c>
      <c r="C529" s="188">
        <v>0</v>
      </c>
      <c r="D529" s="188">
        <v>54</v>
      </c>
      <c r="E529" s="188">
        <v>54</v>
      </c>
      <c r="F529" s="188">
        <v>0</v>
      </c>
      <c r="G529" s="188">
        <v>0</v>
      </c>
      <c r="H529"/>
      <c r="I529"/>
    </row>
    <row r="530" spans="1:9" ht="15">
      <c r="A530" s="186" t="s">
        <v>1535</v>
      </c>
      <c r="B530" s="188">
        <v>0</v>
      </c>
      <c r="C530" s="188">
        <v>0</v>
      </c>
      <c r="D530" s="188">
        <v>200</v>
      </c>
      <c r="E530" s="188">
        <v>100</v>
      </c>
      <c r="F530" s="188">
        <v>100</v>
      </c>
      <c r="G530" s="188">
        <v>0</v>
      </c>
      <c r="H530" t="s">
        <v>2164</v>
      </c>
      <c r="I530" t="s">
        <v>2331</v>
      </c>
    </row>
    <row r="531" spans="1:9" ht="15">
      <c r="A531" s="186" t="s">
        <v>1536</v>
      </c>
      <c r="B531" s="188">
        <v>0</v>
      </c>
      <c r="C531" s="188">
        <v>0</v>
      </c>
      <c r="D531" s="188">
        <v>175.61600000000001</v>
      </c>
      <c r="E531" s="188">
        <v>175.61600000000001</v>
      </c>
      <c r="F531" s="188">
        <v>0</v>
      </c>
      <c r="G531" s="188">
        <v>0</v>
      </c>
      <c r="H531"/>
      <c r="I531"/>
    </row>
    <row r="532" spans="1:9" ht="15">
      <c r="A532" s="186" t="s">
        <v>1537</v>
      </c>
      <c r="B532" s="188">
        <v>0</v>
      </c>
      <c r="C532" s="188">
        <v>0</v>
      </c>
      <c r="D532" s="188">
        <v>221.21</v>
      </c>
      <c r="E532" s="188">
        <v>221.21</v>
      </c>
      <c r="F532" s="188">
        <v>0</v>
      </c>
      <c r="G532" s="188">
        <v>0</v>
      </c>
      <c r="H532"/>
      <c r="I532"/>
    </row>
    <row r="533" spans="1:9" ht="15">
      <c r="A533" s="186" t="s">
        <v>1538</v>
      </c>
      <c r="B533" s="188">
        <v>0</v>
      </c>
      <c r="C533" s="188">
        <v>0</v>
      </c>
      <c r="D533" s="188">
        <v>106.134</v>
      </c>
      <c r="E533" s="188">
        <v>106.134</v>
      </c>
      <c r="F533" s="188">
        <v>0</v>
      </c>
      <c r="G533" s="188">
        <v>0</v>
      </c>
      <c r="H533"/>
      <c r="I533"/>
    </row>
    <row r="534" spans="1:9" ht="15">
      <c r="A534" s="186" t="s">
        <v>1539</v>
      </c>
      <c r="B534" s="188">
        <v>604.5127</v>
      </c>
      <c r="C534" s="188">
        <v>0</v>
      </c>
      <c r="D534" s="188">
        <v>0</v>
      </c>
      <c r="E534" s="188">
        <v>604.5127</v>
      </c>
      <c r="F534" s="188">
        <v>0</v>
      </c>
      <c r="G534" s="188">
        <v>0</v>
      </c>
      <c r="H534"/>
      <c r="I534"/>
    </row>
    <row r="535" spans="1:9" ht="15">
      <c r="A535" s="186" t="s">
        <v>1540</v>
      </c>
      <c r="B535" s="188">
        <v>0</v>
      </c>
      <c r="C535" s="188">
        <v>0</v>
      </c>
      <c r="D535" s="188">
        <v>1598.7348</v>
      </c>
      <c r="E535" s="188">
        <v>0</v>
      </c>
      <c r="F535" s="197">
        <v>1598.7348</v>
      </c>
      <c r="G535" s="188">
        <v>0</v>
      </c>
      <c r="H535" s="226" t="s">
        <v>2337</v>
      </c>
      <c r="I535" t="s">
        <v>2366</v>
      </c>
    </row>
    <row r="536" spans="1:9" ht="15">
      <c r="A536" s="186" t="s">
        <v>1541</v>
      </c>
      <c r="B536" s="188">
        <v>0</v>
      </c>
      <c r="C536" s="188">
        <v>0</v>
      </c>
      <c r="D536" s="188">
        <v>438.75</v>
      </c>
      <c r="E536" s="188">
        <v>438.75</v>
      </c>
      <c r="F536" s="188">
        <v>0</v>
      </c>
      <c r="G536" s="188">
        <v>0</v>
      </c>
      <c r="H536"/>
      <c r="I536"/>
    </row>
    <row r="537" spans="1:9" ht="15">
      <c r="A537" s="186" t="s">
        <v>1542</v>
      </c>
      <c r="B537" s="188">
        <v>0</v>
      </c>
      <c r="C537" s="188">
        <v>0</v>
      </c>
      <c r="D537" s="188">
        <v>137.16</v>
      </c>
      <c r="E537" s="188">
        <v>137.16</v>
      </c>
      <c r="F537" s="188">
        <v>0</v>
      </c>
      <c r="G537" s="188">
        <v>0</v>
      </c>
      <c r="H537"/>
      <c r="I537"/>
    </row>
    <row r="538" spans="1:9" ht="15">
      <c r="A538" s="186" t="s">
        <v>1543</v>
      </c>
      <c r="B538" s="188">
        <v>0</v>
      </c>
      <c r="C538" s="188">
        <v>0</v>
      </c>
      <c r="D538" s="188">
        <v>24978.995999999999</v>
      </c>
      <c r="E538" s="188">
        <v>24978.995999999999</v>
      </c>
      <c r="F538" s="188">
        <v>0</v>
      </c>
      <c r="G538" s="188">
        <v>0</v>
      </c>
      <c r="H538"/>
      <c r="I538"/>
    </row>
    <row r="539" spans="1:9" ht="15">
      <c r="A539" s="186" t="s">
        <v>1544</v>
      </c>
      <c r="B539" s="188">
        <v>0</v>
      </c>
      <c r="C539" s="188">
        <v>0</v>
      </c>
      <c r="D539" s="188">
        <v>804</v>
      </c>
      <c r="E539" s="188">
        <v>0</v>
      </c>
      <c r="F539" s="188">
        <v>804</v>
      </c>
      <c r="G539" s="188">
        <v>0</v>
      </c>
      <c r="H539" t="s">
        <v>2288</v>
      </c>
      <c r="I539" t="s">
        <v>2381</v>
      </c>
    </row>
    <row r="540" spans="1:9" ht="15">
      <c r="A540" s="186" t="s">
        <v>1545</v>
      </c>
      <c r="B540" s="188">
        <v>0</v>
      </c>
      <c r="C540" s="188">
        <v>0</v>
      </c>
      <c r="D540" s="188">
        <v>6</v>
      </c>
      <c r="E540" s="188">
        <v>6</v>
      </c>
      <c r="F540" s="188">
        <v>0</v>
      </c>
      <c r="G540" s="188">
        <v>0</v>
      </c>
      <c r="H540"/>
      <c r="I540"/>
    </row>
    <row r="541" spans="1:9" ht="15">
      <c r="A541" s="186" t="s">
        <v>1546</v>
      </c>
      <c r="B541" s="188">
        <v>0</v>
      </c>
      <c r="C541" s="188">
        <v>0</v>
      </c>
      <c r="D541" s="188">
        <v>125.75</v>
      </c>
      <c r="E541" s="188">
        <v>125.75</v>
      </c>
      <c r="F541" s="188">
        <v>0</v>
      </c>
      <c r="G541" s="188">
        <v>0</v>
      </c>
      <c r="H541"/>
      <c r="I541"/>
    </row>
    <row r="542" spans="1:9" ht="15">
      <c r="A542" s="186" t="s">
        <v>1547</v>
      </c>
      <c r="B542" s="188">
        <v>0</v>
      </c>
      <c r="C542" s="188">
        <v>0</v>
      </c>
      <c r="D542" s="188">
        <v>10341.413970000001</v>
      </c>
      <c r="E542" s="188">
        <v>10341.413970000001</v>
      </c>
      <c r="F542" s="188">
        <v>0</v>
      </c>
      <c r="G542" s="188">
        <v>0</v>
      </c>
      <c r="H542"/>
      <c r="I542"/>
    </row>
    <row r="543" spans="1:9" ht="15">
      <c r="A543" s="186" t="s">
        <v>1548</v>
      </c>
      <c r="B543" s="188">
        <v>0</v>
      </c>
      <c r="C543" s="188">
        <v>0</v>
      </c>
      <c r="D543" s="188">
        <v>1865.58</v>
      </c>
      <c r="E543" s="188">
        <v>1865.58</v>
      </c>
      <c r="F543" s="188">
        <v>0</v>
      </c>
      <c r="G543" s="188">
        <v>0</v>
      </c>
      <c r="H543"/>
      <c r="I543"/>
    </row>
    <row r="544" spans="1:9" ht="15">
      <c r="A544" s="186" t="s">
        <v>1549</v>
      </c>
      <c r="B544" s="188">
        <v>0</v>
      </c>
      <c r="C544" s="188">
        <v>0</v>
      </c>
      <c r="D544" s="188">
        <v>122.5</v>
      </c>
      <c r="E544" s="188">
        <v>122.5</v>
      </c>
      <c r="F544" s="188">
        <v>0</v>
      </c>
      <c r="G544" s="188">
        <v>0</v>
      </c>
      <c r="H544"/>
      <c r="I544"/>
    </row>
    <row r="545" spans="1:9" ht="15">
      <c r="A545" s="186" t="s">
        <v>1550</v>
      </c>
      <c r="B545" s="188">
        <v>0</v>
      </c>
      <c r="C545" s="188">
        <v>0</v>
      </c>
      <c r="D545" s="188">
        <v>10270.981820000001</v>
      </c>
      <c r="E545" s="188">
        <v>10270.981820000001</v>
      </c>
      <c r="F545" s="188">
        <v>0</v>
      </c>
      <c r="G545" s="188">
        <v>0</v>
      </c>
      <c r="H545"/>
      <c r="I545"/>
    </row>
    <row r="546" spans="1:9" ht="15">
      <c r="A546" s="186" t="s">
        <v>1551</v>
      </c>
      <c r="B546" s="188">
        <v>23.390709999999999</v>
      </c>
      <c r="C546" s="188">
        <v>0</v>
      </c>
      <c r="D546" s="188">
        <v>0</v>
      </c>
      <c r="E546" s="188">
        <v>23.390709999999999</v>
      </c>
      <c r="F546" s="188">
        <v>0</v>
      </c>
      <c r="G546" s="188">
        <v>0</v>
      </c>
      <c r="H546"/>
      <c r="I546"/>
    </row>
    <row r="547" spans="1:9" ht="15">
      <c r="A547" s="186" t="s">
        <v>1552</v>
      </c>
      <c r="B547" s="188">
        <v>0</v>
      </c>
      <c r="C547" s="188">
        <v>0</v>
      </c>
      <c r="D547" s="188">
        <v>7784</v>
      </c>
      <c r="E547" s="188">
        <v>7784</v>
      </c>
      <c r="F547" s="188">
        <v>0</v>
      </c>
      <c r="G547" s="188">
        <v>0</v>
      </c>
      <c r="H547"/>
      <c r="I547"/>
    </row>
    <row r="548" spans="1:9" ht="15">
      <c r="A548" s="186" t="s">
        <v>1553</v>
      </c>
      <c r="B548" s="188">
        <v>0</v>
      </c>
      <c r="C548" s="188">
        <v>0</v>
      </c>
      <c r="D548" s="188">
        <v>6.75</v>
      </c>
      <c r="E548" s="188">
        <v>6.75</v>
      </c>
      <c r="F548" s="188">
        <v>0</v>
      </c>
      <c r="G548" s="188">
        <v>0</v>
      </c>
      <c r="H548"/>
      <c r="I548"/>
    </row>
    <row r="549" spans="1:9" ht="15">
      <c r="A549" s="186" t="s">
        <v>1554</v>
      </c>
      <c r="B549" s="188">
        <v>0</v>
      </c>
      <c r="C549" s="188">
        <v>0</v>
      </c>
      <c r="D549" s="188">
        <v>42</v>
      </c>
      <c r="E549" s="188">
        <v>42</v>
      </c>
      <c r="F549" s="188">
        <v>0</v>
      </c>
      <c r="G549" s="188">
        <v>0</v>
      </c>
      <c r="H549"/>
      <c r="I549"/>
    </row>
    <row r="550" spans="1:9" ht="15">
      <c r="A550" s="186" t="s">
        <v>1555</v>
      </c>
      <c r="B550" s="188">
        <v>0</v>
      </c>
      <c r="C550" s="188">
        <v>0</v>
      </c>
      <c r="D550" s="188">
        <v>2130.94004</v>
      </c>
      <c r="E550" s="188">
        <v>2130.94004</v>
      </c>
      <c r="F550" s="188">
        <v>0</v>
      </c>
      <c r="G550" s="188">
        <v>0</v>
      </c>
      <c r="H550"/>
      <c r="I550"/>
    </row>
    <row r="551" spans="1:9" ht="15">
      <c r="A551" s="186" t="s">
        <v>1556</v>
      </c>
      <c r="B551" s="188">
        <v>6272.2092499999999</v>
      </c>
      <c r="C551" s="188">
        <v>0</v>
      </c>
      <c r="D551" s="188">
        <v>0</v>
      </c>
      <c r="E551" s="188">
        <v>0</v>
      </c>
      <c r="F551" s="188">
        <v>6272.2092499999999</v>
      </c>
      <c r="G551" s="188">
        <v>0</v>
      </c>
      <c r="H551" t="s">
        <v>2288</v>
      </c>
      <c r="I551" t="s">
        <v>2382</v>
      </c>
    </row>
    <row r="552" spans="1:9" ht="15">
      <c r="A552" s="186" t="s">
        <v>1557</v>
      </c>
      <c r="B552" s="188">
        <v>0</v>
      </c>
      <c r="C552" s="188">
        <v>0</v>
      </c>
      <c r="D552" s="188">
        <v>11054.330960000001</v>
      </c>
      <c r="E552" s="188">
        <v>11054.330960000001</v>
      </c>
      <c r="F552" s="188">
        <v>0</v>
      </c>
      <c r="G552" s="188">
        <v>0</v>
      </c>
      <c r="H552"/>
      <c r="I552"/>
    </row>
    <row r="553" spans="1:9" ht="15">
      <c r="A553" s="186" t="s">
        <v>1558</v>
      </c>
      <c r="B553" s="188">
        <v>70.091009999999997</v>
      </c>
      <c r="C553" s="188">
        <v>0</v>
      </c>
      <c r="D553" s="188">
        <v>12923.43332</v>
      </c>
      <c r="E553" s="188">
        <v>12618.12232</v>
      </c>
      <c r="F553" s="188">
        <v>375.40201000000002</v>
      </c>
      <c r="G553" s="188">
        <v>0</v>
      </c>
      <c r="H553" t="s">
        <v>2164</v>
      </c>
      <c r="I553" t="s">
        <v>2383</v>
      </c>
    </row>
    <row r="554" spans="1:9" ht="15">
      <c r="A554" s="186" t="s">
        <v>1559</v>
      </c>
      <c r="B554" s="188">
        <v>7256.7741500000002</v>
      </c>
      <c r="C554" s="188">
        <v>0</v>
      </c>
      <c r="D554" s="188">
        <v>64000</v>
      </c>
      <c r="E554" s="188">
        <v>58836.587460000002</v>
      </c>
      <c r="F554" s="188">
        <v>12420.186689999999</v>
      </c>
      <c r="G554" s="188">
        <v>0</v>
      </c>
      <c r="H554" t="s">
        <v>2164</v>
      </c>
      <c r="I554" t="s">
        <v>2384</v>
      </c>
    </row>
    <row r="555" spans="1:9" ht="15">
      <c r="A555" s="186" t="s">
        <v>1560</v>
      </c>
      <c r="B555" s="188">
        <v>0</v>
      </c>
      <c r="C555" s="188">
        <v>0</v>
      </c>
      <c r="D555" s="188">
        <v>424.95</v>
      </c>
      <c r="E555" s="188">
        <v>424.95</v>
      </c>
      <c r="F555" s="188">
        <v>0</v>
      </c>
      <c r="G555" s="188">
        <v>0</v>
      </c>
      <c r="H555"/>
      <c r="I555"/>
    </row>
    <row r="556" spans="1:9" ht="15">
      <c r="A556" s="186" t="s">
        <v>1561</v>
      </c>
      <c r="B556" s="188">
        <v>0</v>
      </c>
      <c r="C556" s="188">
        <v>0</v>
      </c>
      <c r="D556" s="188">
        <v>671.97</v>
      </c>
      <c r="E556" s="188">
        <v>671.97</v>
      </c>
      <c r="F556" s="188">
        <v>0</v>
      </c>
      <c r="G556" s="188">
        <v>0</v>
      </c>
      <c r="H556"/>
      <c r="I556"/>
    </row>
    <row r="557" spans="1:9" ht="15">
      <c r="A557" s="186" t="s">
        <v>1562</v>
      </c>
      <c r="B557" s="188">
        <v>0</v>
      </c>
      <c r="C557" s="188">
        <v>0</v>
      </c>
      <c r="D557" s="188">
        <v>11147</v>
      </c>
      <c r="E557" s="188">
        <v>11147</v>
      </c>
      <c r="F557" s="188">
        <v>0</v>
      </c>
      <c r="G557" s="188">
        <v>0</v>
      </c>
      <c r="H557"/>
      <c r="I557"/>
    </row>
    <row r="558" spans="1:9" ht="15">
      <c r="A558" s="186" t="s">
        <v>1563</v>
      </c>
      <c r="B558" s="188">
        <v>0</v>
      </c>
      <c r="C558" s="188">
        <v>0</v>
      </c>
      <c r="D558" s="188">
        <v>7922.8598700000002</v>
      </c>
      <c r="E558" s="188">
        <v>7922.8598700000002</v>
      </c>
      <c r="F558" s="188">
        <v>0</v>
      </c>
      <c r="G558" s="188">
        <v>0</v>
      </c>
      <c r="H558"/>
      <c r="I558"/>
    </row>
    <row r="559" spans="1:9" ht="15">
      <c r="A559" s="186" t="s">
        <v>1564</v>
      </c>
      <c r="B559" s="188">
        <v>0</v>
      </c>
      <c r="C559" s="188">
        <v>0</v>
      </c>
      <c r="D559" s="188">
        <v>21.31</v>
      </c>
      <c r="E559" s="188">
        <v>21.31</v>
      </c>
      <c r="F559" s="188">
        <v>0</v>
      </c>
      <c r="G559" s="188">
        <v>0</v>
      </c>
      <c r="H559"/>
      <c r="I559"/>
    </row>
    <row r="560" spans="1:9" ht="15">
      <c r="A560" s="186" t="s">
        <v>1565</v>
      </c>
      <c r="B560" s="188">
        <v>0</v>
      </c>
      <c r="C560" s="188">
        <v>0</v>
      </c>
      <c r="D560" s="188">
        <v>154087.30328999998</v>
      </c>
      <c r="E560" s="188">
        <v>154087.30328999998</v>
      </c>
      <c r="F560" s="188">
        <v>0</v>
      </c>
      <c r="G560" s="188">
        <v>0</v>
      </c>
      <c r="H560"/>
      <c r="I560"/>
    </row>
    <row r="561" spans="1:9" ht="15">
      <c r="A561" s="186" t="s">
        <v>1566</v>
      </c>
      <c r="B561" s="188">
        <v>0</v>
      </c>
      <c r="C561" s="188">
        <v>0</v>
      </c>
      <c r="D561" s="188">
        <v>239.42</v>
      </c>
      <c r="E561" s="188">
        <v>239.42</v>
      </c>
      <c r="F561" s="188">
        <v>0</v>
      </c>
      <c r="G561" s="188">
        <v>0</v>
      </c>
      <c r="H561"/>
      <c r="I561"/>
    </row>
    <row r="562" spans="1:9" ht="15">
      <c r="A562" s="186" t="s">
        <v>965</v>
      </c>
      <c r="B562" s="188">
        <v>0</v>
      </c>
      <c r="C562" s="188">
        <v>0</v>
      </c>
      <c r="D562" s="188">
        <v>427.74</v>
      </c>
      <c r="E562" s="188">
        <v>427.74</v>
      </c>
      <c r="F562" s="188">
        <v>0</v>
      </c>
      <c r="G562" s="188">
        <v>0</v>
      </c>
      <c r="H562"/>
      <c r="I562"/>
    </row>
    <row r="563" spans="1:9" ht="15">
      <c r="A563" s="186" t="s">
        <v>1567</v>
      </c>
      <c r="B563" s="188">
        <v>0</v>
      </c>
      <c r="C563" s="188">
        <v>0</v>
      </c>
      <c r="D563" s="188">
        <v>18173.702799999999</v>
      </c>
      <c r="E563" s="188">
        <v>18173.702799999999</v>
      </c>
      <c r="F563" s="188">
        <v>0</v>
      </c>
      <c r="G563" s="188">
        <v>0</v>
      </c>
      <c r="H563"/>
      <c r="I563"/>
    </row>
    <row r="564" spans="1:9" ht="15">
      <c r="A564" s="186" t="s">
        <v>1568</v>
      </c>
      <c r="B564" s="188">
        <v>0</v>
      </c>
      <c r="C564" s="188">
        <v>0</v>
      </c>
      <c r="D564" s="188">
        <v>48</v>
      </c>
      <c r="E564" s="188">
        <v>48</v>
      </c>
      <c r="F564" s="188">
        <v>0</v>
      </c>
      <c r="G564" s="188">
        <v>0</v>
      </c>
      <c r="H564"/>
      <c r="I564"/>
    </row>
    <row r="565" spans="1:9" ht="15">
      <c r="A565" s="186" t="s">
        <v>1569</v>
      </c>
      <c r="B565" s="188">
        <v>19.25</v>
      </c>
      <c r="C565" s="188">
        <v>0</v>
      </c>
      <c r="D565" s="188">
        <v>0</v>
      </c>
      <c r="E565" s="188">
        <v>0</v>
      </c>
      <c r="F565" s="188">
        <v>19.25</v>
      </c>
      <c r="G565" s="188">
        <v>0</v>
      </c>
      <c r="H565" t="s">
        <v>2365</v>
      </c>
      <c r="I565" t="s">
        <v>2385</v>
      </c>
    </row>
    <row r="566" spans="1:9" ht="15">
      <c r="A566" s="186" t="s">
        <v>1570</v>
      </c>
      <c r="B566" s="188">
        <v>0</v>
      </c>
      <c r="C566" s="188">
        <v>0</v>
      </c>
      <c r="D566" s="188">
        <v>399</v>
      </c>
      <c r="E566" s="188">
        <v>399</v>
      </c>
      <c r="F566" s="188">
        <v>0</v>
      </c>
      <c r="G566" s="188">
        <v>0</v>
      </c>
      <c r="H566"/>
      <c r="I566"/>
    </row>
    <row r="567" spans="1:9" ht="15">
      <c r="A567" s="186" t="s">
        <v>1571</v>
      </c>
      <c r="B567" s="188">
        <v>0</v>
      </c>
      <c r="C567" s="188">
        <v>0</v>
      </c>
      <c r="D567" s="188">
        <v>1047.3610000000001</v>
      </c>
      <c r="E567" s="188">
        <v>1047.3610000000001</v>
      </c>
      <c r="F567" s="188">
        <v>0</v>
      </c>
      <c r="G567" s="188">
        <v>0</v>
      </c>
      <c r="H567"/>
      <c r="I567"/>
    </row>
    <row r="568" spans="1:9" ht="15">
      <c r="A568" s="186" t="s">
        <v>1572</v>
      </c>
      <c r="B568" s="188">
        <v>0.26</v>
      </c>
      <c r="C568" s="188">
        <v>0</v>
      </c>
      <c r="D568" s="188">
        <v>308.98</v>
      </c>
      <c r="E568" s="188">
        <v>280.48</v>
      </c>
      <c r="F568" s="188">
        <v>28.76</v>
      </c>
      <c r="G568" s="188">
        <v>0</v>
      </c>
      <c r="H568" t="s">
        <v>2288</v>
      </c>
      <c r="I568" t="s">
        <v>2351</v>
      </c>
    </row>
    <row r="569" spans="1:9" ht="15">
      <c r="A569" s="186" t="s">
        <v>1573</v>
      </c>
      <c r="B569" s="188">
        <v>0</v>
      </c>
      <c r="C569" s="188">
        <v>0</v>
      </c>
      <c r="D569" s="188">
        <v>2947.002</v>
      </c>
      <c r="E569" s="188">
        <v>2947.002</v>
      </c>
      <c r="F569" s="188">
        <v>0</v>
      </c>
      <c r="G569" s="188">
        <v>0</v>
      </c>
      <c r="H569"/>
      <c r="I569"/>
    </row>
    <row r="570" spans="1:9" ht="15">
      <c r="A570" s="186" t="s">
        <v>1574</v>
      </c>
      <c r="B570" s="188">
        <v>0</v>
      </c>
      <c r="C570" s="188">
        <v>0</v>
      </c>
      <c r="D570" s="188">
        <v>11610.874800000001</v>
      </c>
      <c r="E570" s="188">
        <v>11610.874800000001</v>
      </c>
      <c r="F570" s="188">
        <v>0</v>
      </c>
      <c r="G570" s="188">
        <v>0</v>
      </c>
      <c r="H570"/>
      <c r="I570"/>
    </row>
    <row r="571" spans="1:9" ht="15">
      <c r="A571" s="186" t="s">
        <v>1575</v>
      </c>
      <c r="B571" s="188">
        <v>0</v>
      </c>
      <c r="C571" s="188">
        <v>0</v>
      </c>
      <c r="D571" s="188">
        <v>81137.724860000002</v>
      </c>
      <c r="E571" s="188">
        <v>81137.724860000002</v>
      </c>
      <c r="F571" s="188">
        <v>0</v>
      </c>
      <c r="G571" s="188">
        <v>0</v>
      </c>
      <c r="H571"/>
      <c r="I571"/>
    </row>
    <row r="572" spans="1:9" ht="15">
      <c r="A572" s="186" t="s">
        <v>972</v>
      </c>
      <c r="B572" s="188">
        <v>0</v>
      </c>
      <c r="C572" s="188">
        <v>0</v>
      </c>
      <c r="D572" s="188">
        <v>13488.731</v>
      </c>
      <c r="E572" s="188">
        <v>13488.731</v>
      </c>
      <c r="F572" s="188">
        <v>0</v>
      </c>
      <c r="G572" s="188">
        <v>0</v>
      </c>
      <c r="H572"/>
      <c r="I572"/>
    </row>
    <row r="573" spans="1:9" ht="15">
      <c r="A573" s="186" t="s">
        <v>1576</v>
      </c>
      <c r="B573" s="188">
        <v>1860</v>
      </c>
      <c r="C573" s="188">
        <v>0</v>
      </c>
      <c r="D573" s="188">
        <v>0</v>
      </c>
      <c r="E573" s="188">
        <v>0</v>
      </c>
      <c r="F573" s="188">
        <v>1860</v>
      </c>
      <c r="G573" s="188">
        <v>0</v>
      </c>
      <c r="H573" t="s">
        <v>2164</v>
      </c>
      <c r="I573" t="s">
        <v>2331</v>
      </c>
    </row>
    <row r="574" spans="1:9" ht="15">
      <c r="A574" s="186" t="s">
        <v>1577</v>
      </c>
      <c r="B574" s="188">
        <v>154.5</v>
      </c>
      <c r="C574" s="188">
        <v>0</v>
      </c>
      <c r="D574" s="188">
        <v>0</v>
      </c>
      <c r="E574" s="188">
        <v>94.5</v>
      </c>
      <c r="F574" s="188">
        <v>60</v>
      </c>
      <c r="G574" s="188">
        <v>0</v>
      </c>
      <c r="H574" t="s">
        <v>2164</v>
      </c>
      <c r="I574" t="s">
        <v>2343</v>
      </c>
    </row>
    <row r="575" spans="1:9" ht="15">
      <c r="A575" s="186" t="s">
        <v>1578</v>
      </c>
      <c r="B575" s="188">
        <v>55</v>
      </c>
      <c r="C575" s="188">
        <v>0</v>
      </c>
      <c r="D575" s="188">
        <v>55</v>
      </c>
      <c r="E575" s="188">
        <v>40</v>
      </c>
      <c r="F575" s="188">
        <v>70</v>
      </c>
      <c r="G575" s="188">
        <v>0</v>
      </c>
      <c r="H575" t="s">
        <v>2164</v>
      </c>
      <c r="I575" t="s">
        <v>2343</v>
      </c>
    </row>
    <row r="576" spans="1:9" ht="15">
      <c r="A576" s="186" t="s">
        <v>1579</v>
      </c>
      <c r="B576" s="188">
        <v>0</v>
      </c>
      <c r="C576" s="188">
        <v>0</v>
      </c>
      <c r="D576" s="188">
        <v>63</v>
      </c>
      <c r="E576" s="188">
        <v>63</v>
      </c>
      <c r="F576" s="188">
        <v>0</v>
      </c>
      <c r="G576" s="188">
        <v>0</v>
      </c>
      <c r="H576"/>
      <c r="I576"/>
    </row>
    <row r="577" spans="1:9" ht="15">
      <c r="A577" s="186" t="s">
        <v>1580</v>
      </c>
      <c r="B577" s="188">
        <v>0</v>
      </c>
      <c r="C577" s="188">
        <v>0</v>
      </c>
      <c r="D577" s="188">
        <v>27</v>
      </c>
      <c r="E577" s="188">
        <v>27</v>
      </c>
      <c r="F577" s="188">
        <v>0</v>
      </c>
      <c r="G577" s="188">
        <v>0</v>
      </c>
      <c r="H577"/>
      <c r="I577"/>
    </row>
    <row r="578" spans="1:9" ht="15">
      <c r="A578" s="186" t="s">
        <v>1581</v>
      </c>
      <c r="B578" s="188">
        <v>0</v>
      </c>
      <c r="C578" s="188">
        <v>0</v>
      </c>
      <c r="D578" s="188">
        <v>12430.5</v>
      </c>
      <c r="E578" s="188">
        <v>12430.5</v>
      </c>
      <c r="F578" s="188">
        <v>0</v>
      </c>
      <c r="G578" s="188">
        <v>0</v>
      </c>
      <c r="H578"/>
      <c r="I578"/>
    </row>
    <row r="579" spans="1:9" ht="15">
      <c r="A579" s="186" t="s">
        <v>1582</v>
      </c>
      <c r="B579" s="188">
        <v>0</v>
      </c>
      <c r="C579" s="188">
        <v>0</v>
      </c>
      <c r="D579" s="188">
        <v>11792.247810000001</v>
      </c>
      <c r="E579" s="188">
        <v>11792.247810000001</v>
      </c>
      <c r="F579" s="188">
        <v>0</v>
      </c>
      <c r="G579" s="188">
        <v>0</v>
      </c>
      <c r="H579"/>
      <c r="I579"/>
    </row>
    <row r="580" spans="1:9" ht="15">
      <c r="A580" s="186" t="s">
        <v>1583</v>
      </c>
      <c r="B580" s="188">
        <v>0</v>
      </c>
      <c r="C580" s="188">
        <v>0</v>
      </c>
      <c r="D580" s="188">
        <v>931.39200000000005</v>
      </c>
      <c r="E580" s="188">
        <v>931.39200000000005</v>
      </c>
      <c r="F580" s="188">
        <v>0</v>
      </c>
      <c r="G580" s="188">
        <v>0</v>
      </c>
      <c r="H580"/>
      <c r="I580"/>
    </row>
    <row r="581" spans="1:9" ht="15">
      <c r="A581" s="186" t="s">
        <v>1584</v>
      </c>
      <c r="B581" s="188">
        <v>0</v>
      </c>
      <c r="C581" s="188">
        <v>0</v>
      </c>
      <c r="D581" s="188">
        <v>207.93988000000002</v>
      </c>
      <c r="E581" s="188">
        <v>150.352</v>
      </c>
      <c r="F581" s="188">
        <v>57.587879999999998</v>
      </c>
      <c r="G581" s="188">
        <v>0</v>
      </c>
      <c r="H581" t="s">
        <v>2288</v>
      </c>
      <c r="I581" t="s">
        <v>2386</v>
      </c>
    </row>
    <row r="582" spans="1:9" ht="15">
      <c r="A582" s="186" t="s">
        <v>1585</v>
      </c>
      <c r="B582" s="188">
        <v>323.75</v>
      </c>
      <c r="C582" s="188">
        <v>0</v>
      </c>
      <c r="D582" s="188">
        <v>0</v>
      </c>
      <c r="E582" s="188">
        <v>0</v>
      </c>
      <c r="F582" s="188">
        <v>323.75</v>
      </c>
      <c r="G582" s="188">
        <v>0</v>
      </c>
      <c r="H582" t="s">
        <v>2288</v>
      </c>
      <c r="I582" t="s">
        <v>2387</v>
      </c>
    </row>
    <row r="583" spans="1:9" ht="15">
      <c r="A583" s="186" t="s">
        <v>1586</v>
      </c>
      <c r="B583" s="188">
        <v>180</v>
      </c>
      <c r="C583" s="188">
        <v>0</v>
      </c>
      <c r="D583" s="188">
        <v>3600.9920000000002</v>
      </c>
      <c r="E583" s="188">
        <v>3780.9920000000002</v>
      </c>
      <c r="F583" s="188">
        <v>0</v>
      </c>
      <c r="G583" s="188">
        <v>0</v>
      </c>
      <c r="H583"/>
      <c r="I583"/>
    </row>
    <row r="584" spans="1:9" ht="15">
      <c r="A584" s="186" t="s">
        <v>1587</v>
      </c>
      <c r="B584" s="188">
        <v>0</v>
      </c>
      <c r="C584" s="188">
        <v>0</v>
      </c>
      <c r="D584" s="188">
        <v>179.95400000000001</v>
      </c>
      <c r="E584" s="188">
        <v>125.78</v>
      </c>
      <c r="F584" s="188">
        <v>54.173999999999999</v>
      </c>
      <c r="G584" s="188">
        <v>0</v>
      </c>
      <c r="H584" t="s">
        <v>2164</v>
      </c>
      <c r="I584"/>
    </row>
    <row r="585" spans="1:9" ht="15">
      <c r="A585" s="186" t="s">
        <v>1588</v>
      </c>
      <c r="B585" s="188">
        <v>0</v>
      </c>
      <c r="C585" s="188">
        <v>0</v>
      </c>
      <c r="D585" s="188">
        <v>540</v>
      </c>
      <c r="E585" s="188">
        <v>0</v>
      </c>
      <c r="F585" s="188">
        <v>540</v>
      </c>
      <c r="G585" s="188">
        <v>0</v>
      </c>
      <c r="H585" t="s">
        <v>2164</v>
      </c>
      <c r="I585" t="s">
        <v>2388</v>
      </c>
    </row>
    <row r="586" spans="1:9" ht="15">
      <c r="A586" s="186" t="s">
        <v>1589</v>
      </c>
      <c r="B586" s="188">
        <v>9940.5</v>
      </c>
      <c r="C586" s="188">
        <v>0</v>
      </c>
      <c r="D586" s="188">
        <v>225522.92</v>
      </c>
      <c r="E586" s="188">
        <v>235463.42</v>
      </c>
      <c r="F586" s="188">
        <v>0</v>
      </c>
      <c r="G586" s="188">
        <v>0</v>
      </c>
      <c r="H586"/>
      <c r="I586"/>
    </row>
    <row r="587" spans="1:9" ht="15">
      <c r="A587" s="186" t="s">
        <v>1590</v>
      </c>
      <c r="B587" s="188">
        <v>0</v>
      </c>
      <c r="C587" s="188">
        <v>0</v>
      </c>
      <c r="D587" s="188">
        <v>103</v>
      </c>
      <c r="E587" s="188">
        <v>103</v>
      </c>
      <c r="F587" s="188">
        <v>0</v>
      </c>
      <c r="G587" s="188">
        <v>0</v>
      </c>
      <c r="H587"/>
      <c r="I587"/>
    </row>
    <row r="588" spans="1:9" ht="15">
      <c r="A588" s="186" t="s">
        <v>1591</v>
      </c>
      <c r="B588" s="188">
        <v>1619.933</v>
      </c>
      <c r="C588" s="188">
        <v>0</v>
      </c>
      <c r="D588" s="188">
        <v>0</v>
      </c>
      <c r="E588" s="188">
        <v>0</v>
      </c>
      <c r="F588" s="188">
        <v>1619.933</v>
      </c>
      <c r="G588" s="188">
        <v>0</v>
      </c>
      <c r="H588" t="s">
        <v>2164</v>
      </c>
      <c r="I588" t="s">
        <v>2389</v>
      </c>
    </row>
    <row r="589" spans="1:9" ht="15">
      <c r="A589" s="186" t="s">
        <v>1592</v>
      </c>
      <c r="B589" s="188">
        <v>350.83100000000002</v>
      </c>
      <c r="C589" s="188">
        <v>0</v>
      </c>
      <c r="D589" s="188">
        <v>0</v>
      </c>
      <c r="E589" s="188">
        <v>350.83100000000002</v>
      </c>
      <c r="F589" s="188">
        <v>0</v>
      </c>
      <c r="G589" s="188">
        <v>0</v>
      </c>
      <c r="H589"/>
      <c r="I589"/>
    </row>
    <row r="590" spans="1:9" ht="15">
      <c r="A590" s="186" t="s">
        <v>1593</v>
      </c>
      <c r="B590" s="188">
        <v>0</v>
      </c>
      <c r="C590" s="188">
        <v>0</v>
      </c>
      <c r="D590" s="188">
        <v>157.1</v>
      </c>
      <c r="E590" s="188">
        <v>157.1</v>
      </c>
      <c r="F590" s="188">
        <v>0</v>
      </c>
      <c r="G590" s="188">
        <v>0</v>
      </c>
      <c r="H590"/>
      <c r="I590"/>
    </row>
    <row r="591" spans="1:9" ht="15">
      <c r="A591" s="186" t="s">
        <v>1594</v>
      </c>
      <c r="B591" s="188">
        <v>0</v>
      </c>
      <c r="C591" s="188">
        <v>0</v>
      </c>
      <c r="D591" s="188">
        <v>56.112000000000002</v>
      </c>
      <c r="E591" s="188">
        <v>56.112000000000002</v>
      </c>
      <c r="F591" s="188">
        <v>0</v>
      </c>
      <c r="G591" s="188">
        <v>0</v>
      </c>
      <c r="H591"/>
      <c r="I591"/>
    </row>
    <row r="592" spans="1:9" ht="15">
      <c r="A592" s="186" t="s">
        <v>1595</v>
      </c>
      <c r="B592" s="188">
        <v>0</v>
      </c>
      <c r="C592" s="188">
        <v>0</v>
      </c>
      <c r="D592" s="188">
        <v>4306.3537999999999</v>
      </c>
      <c r="E592" s="188">
        <v>4306.3537999999999</v>
      </c>
      <c r="F592" s="188">
        <v>0</v>
      </c>
      <c r="G592" s="188">
        <v>0</v>
      </c>
      <c r="H592"/>
      <c r="I592"/>
    </row>
    <row r="593" spans="1:9" ht="15">
      <c r="A593" s="186" t="s">
        <v>974</v>
      </c>
      <c r="B593" s="188">
        <v>0</v>
      </c>
      <c r="C593" s="188">
        <v>0</v>
      </c>
      <c r="D593" s="188">
        <v>255.62</v>
      </c>
      <c r="E593" s="188">
        <v>255.62</v>
      </c>
      <c r="F593" s="188">
        <v>0</v>
      </c>
      <c r="G593" s="188">
        <v>0</v>
      </c>
      <c r="H593"/>
      <c r="I593"/>
    </row>
    <row r="594" spans="1:9" ht="15">
      <c r="A594" s="186" t="s">
        <v>1596</v>
      </c>
      <c r="B594" s="188">
        <v>0</v>
      </c>
      <c r="C594" s="188">
        <v>0</v>
      </c>
      <c r="D594" s="188">
        <v>100</v>
      </c>
      <c r="E594" s="188">
        <v>0</v>
      </c>
      <c r="F594" s="188">
        <v>100</v>
      </c>
      <c r="G594" s="188">
        <v>0</v>
      </c>
      <c r="H594" t="s">
        <v>2164</v>
      </c>
      <c r="I594" t="s">
        <v>2388</v>
      </c>
    </row>
    <row r="595" spans="1:9" ht="15">
      <c r="A595" s="186" t="s">
        <v>1597</v>
      </c>
      <c r="B595" s="188">
        <v>0</v>
      </c>
      <c r="C595" s="188">
        <v>0</v>
      </c>
      <c r="D595" s="188">
        <v>259.14668</v>
      </c>
      <c r="E595" s="188">
        <v>259.14668</v>
      </c>
      <c r="F595" s="188">
        <v>0</v>
      </c>
      <c r="G595" s="188">
        <v>0</v>
      </c>
      <c r="H595"/>
      <c r="I595"/>
    </row>
    <row r="596" spans="1:9" ht="15">
      <c r="A596" s="186" t="s">
        <v>1598</v>
      </c>
      <c r="B596" s="188">
        <v>0</v>
      </c>
      <c r="C596" s="188">
        <v>0</v>
      </c>
      <c r="D596" s="188">
        <v>724.3</v>
      </c>
      <c r="E596" s="188">
        <v>724.3</v>
      </c>
      <c r="F596" s="188">
        <v>0</v>
      </c>
      <c r="G596" s="188">
        <v>0</v>
      </c>
      <c r="H596"/>
      <c r="I596"/>
    </row>
    <row r="597" spans="1:9" ht="15">
      <c r="A597" s="186" t="s">
        <v>1599</v>
      </c>
      <c r="B597" s="188">
        <v>0</v>
      </c>
      <c r="C597" s="188">
        <v>0</v>
      </c>
      <c r="D597" s="188">
        <v>44.99</v>
      </c>
      <c r="E597" s="188">
        <v>44.99</v>
      </c>
      <c r="F597" s="188">
        <v>0</v>
      </c>
      <c r="G597" s="188">
        <v>0</v>
      </c>
      <c r="H597"/>
      <c r="I597"/>
    </row>
    <row r="598" spans="1:9" ht="15">
      <c r="A598" s="186" t="s">
        <v>1600</v>
      </c>
      <c r="B598" s="188">
        <v>0</v>
      </c>
      <c r="C598" s="188">
        <v>0</v>
      </c>
      <c r="D598" s="188">
        <v>536.34699999999998</v>
      </c>
      <c r="E598" s="188">
        <v>0</v>
      </c>
      <c r="F598" s="188">
        <v>536.34699999999998</v>
      </c>
      <c r="G598" s="188">
        <v>0</v>
      </c>
      <c r="H598" t="s">
        <v>2164</v>
      </c>
      <c r="I598" t="s">
        <v>2390</v>
      </c>
    </row>
    <row r="599" spans="1:9" ht="15">
      <c r="A599" s="186" t="s">
        <v>1601</v>
      </c>
      <c r="B599" s="188">
        <v>0</v>
      </c>
      <c r="C599" s="188">
        <v>0</v>
      </c>
      <c r="D599" s="188">
        <v>758.78827000000001</v>
      </c>
      <c r="E599" s="188">
        <v>758.78827000000001</v>
      </c>
      <c r="F599" s="188">
        <v>0</v>
      </c>
      <c r="G599" s="188">
        <v>0</v>
      </c>
      <c r="H599"/>
      <c r="I599"/>
    </row>
    <row r="600" spans="1:9" ht="15">
      <c r="A600" s="186" t="s">
        <v>1602</v>
      </c>
      <c r="B600" s="188">
        <v>0</v>
      </c>
      <c r="C600" s="188">
        <v>0</v>
      </c>
      <c r="D600" s="188">
        <v>112</v>
      </c>
      <c r="E600" s="188">
        <v>112</v>
      </c>
      <c r="F600" s="188">
        <v>0</v>
      </c>
      <c r="G600" s="188">
        <v>0</v>
      </c>
      <c r="H600"/>
      <c r="I600"/>
    </row>
    <row r="601" spans="1:9" ht="15">
      <c r="A601" s="186" t="s">
        <v>1603</v>
      </c>
      <c r="B601" s="188">
        <v>0</v>
      </c>
      <c r="C601" s="188">
        <v>0</v>
      </c>
      <c r="D601" s="188">
        <v>17.169</v>
      </c>
      <c r="E601" s="188">
        <v>17.169</v>
      </c>
      <c r="F601" s="188">
        <v>0</v>
      </c>
      <c r="G601" s="188">
        <v>0</v>
      </c>
      <c r="H601"/>
      <c r="I601"/>
    </row>
    <row r="602" spans="1:9" ht="15">
      <c r="A602" s="186" t="s">
        <v>1604</v>
      </c>
      <c r="B602" s="188">
        <v>0</v>
      </c>
      <c r="C602" s="188">
        <v>0</v>
      </c>
      <c r="D602" s="188">
        <v>6.72</v>
      </c>
      <c r="E602" s="188">
        <v>6.72</v>
      </c>
      <c r="F602" s="188">
        <v>0</v>
      </c>
      <c r="G602" s="188">
        <v>0</v>
      </c>
      <c r="H602"/>
      <c r="I602"/>
    </row>
    <row r="603" spans="1:9" ht="15">
      <c r="A603" s="186" t="s">
        <v>1605</v>
      </c>
      <c r="B603" s="188">
        <v>0</v>
      </c>
      <c r="C603" s="188">
        <v>0</v>
      </c>
      <c r="D603" s="188">
        <v>180.8296</v>
      </c>
      <c r="E603" s="188">
        <v>180.8296</v>
      </c>
      <c r="F603" s="188">
        <v>0</v>
      </c>
      <c r="G603" s="188">
        <v>0</v>
      </c>
      <c r="H603"/>
      <c r="I603"/>
    </row>
    <row r="604" spans="1:9" ht="15">
      <c r="A604" s="186" t="s">
        <v>1606</v>
      </c>
      <c r="B604" s="188">
        <v>0</v>
      </c>
      <c r="C604" s="188">
        <v>0</v>
      </c>
      <c r="D604" s="188">
        <v>70.504000000000005</v>
      </c>
      <c r="E604" s="188">
        <v>70.504000000000005</v>
      </c>
      <c r="F604" s="188">
        <v>0</v>
      </c>
      <c r="G604" s="188">
        <v>0</v>
      </c>
      <c r="H604"/>
      <c r="I604"/>
    </row>
    <row r="605" spans="1:9" ht="15">
      <c r="A605" s="186" t="s">
        <v>1607</v>
      </c>
      <c r="B605" s="188">
        <v>0</v>
      </c>
      <c r="C605" s="188">
        <v>0</v>
      </c>
      <c r="D605" s="188">
        <v>46.4</v>
      </c>
      <c r="E605" s="188">
        <v>46.4</v>
      </c>
      <c r="F605" s="188">
        <v>0</v>
      </c>
      <c r="G605" s="188">
        <v>0</v>
      </c>
      <c r="H605"/>
      <c r="I605"/>
    </row>
    <row r="606" spans="1:9" ht="15">
      <c r="A606" s="186" t="s">
        <v>1608</v>
      </c>
      <c r="B606" s="188">
        <v>0</v>
      </c>
      <c r="C606" s="188">
        <v>0</v>
      </c>
      <c r="D606" s="188">
        <v>835.44</v>
      </c>
      <c r="E606" s="188">
        <v>835.44</v>
      </c>
      <c r="F606" s="188">
        <v>0</v>
      </c>
      <c r="G606" s="188">
        <v>0</v>
      </c>
      <c r="H606"/>
      <c r="I606"/>
    </row>
    <row r="607" spans="1:9" ht="15">
      <c r="A607" s="186" t="s">
        <v>1609</v>
      </c>
      <c r="B607" s="188">
        <v>0</v>
      </c>
      <c r="C607" s="188">
        <v>0</v>
      </c>
      <c r="D607" s="188">
        <v>3203.18415</v>
      </c>
      <c r="E607" s="188">
        <v>3203.18415</v>
      </c>
      <c r="F607" s="188">
        <v>0</v>
      </c>
      <c r="G607" s="188">
        <v>0</v>
      </c>
      <c r="H607"/>
      <c r="I607"/>
    </row>
    <row r="608" spans="1:9" ht="15">
      <c r="A608" s="186" t="s">
        <v>1610</v>
      </c>
      <c r="B608" s="188">
        <v>3200</v>
      </c>
      <c r="C608" s="188">
        <v>0</v>
      </c>
      <c r="D608" s="188">
        <v>8644.2124999999996</v>
      </c>
      <c r="E608" s="188">
        <v>8644.2124999999996</v>
      </c>
      <c r="F608" s="188">
        <v>3200</v>
      </c>
      <c r="G608" s="188">
        <v>0</v>
      </c>
      <c r="H608" t="s">
        <v>2288</v>
      </c>
      <c r="I608" t="s">
        <v>2381</v>
      </c>
    </row>
    <row r="609" spans="1:9" ht="15">
      <c r="A609" s="186" t="s">
        <v>1611</v>
      </c>
      <c r="B609" s="188">
        <v>0</v>
      </c>
      <c r="C609" s="188">
        <v>0</v>
      </c>
      <c r="D609" s="188">
        <v>2938.4506699999997</v>
      </c>
      <c r="E609" s="188">
        <v>2938.4506699999997</v>
      </c>
      <c r="F609" s="188">
        <v>0</v>
      </c>
      <c r="G609" s="188">
        <v>0</v>
      </c>
      <c r="H609"/>
      <c r="I609"/>
    </row>
    <row r="610" spans="1:9" ht="15">
      <c r="A610" s="186" t="s">
        <v>1612</v>
      </c>
      <c r="B610" s="188">
        <v>0</v>
      </c>
      <c r="C610" s="188">
        <v>0</v>
      </c>
      <c r="D610" s="188">
        <v>351.30959999999999</v>
      </c>
      <c r="E610" s="188">
        <v>351.30959999999999</v>
      </c>
      <c r="F610" s="188">
        <v>0</v>
      </c>
      <c r="G610" s="188">
        <v>0</v>
      </c>
      <c r="H610"/>
      <c r="I610"/>
    </row>
    <row r="611" spans="1:9" ht="15">
      <c r="A611" s="186" t="s">
        <v>1613</v>
      </c>
      <c r="B611" s="188">
        <v>0</v>
      </c>
      <c r="C611" s="188">
        <v>0</v>
      </c>
      <c r="D611" s="188">
        <v>296.67599999999999</v>
      </c>
      <c r="E611" s="188">
        <v>296.67599999999999</v>
      </c>
      <c r="F611" s="188">
        <v>0</v>
      </c>
      <c r="G611" s="188">
        <v>0</v>
      </c>
      <c r="H611"/>
      <c r="I611"/>
    </row>
    <row r="612" spans="1:9" ht="15">
      <c r="A612" s="186" t="s">
        <v>985</v>
      </c>
      <c r="B612" s="188">
        <v>239.99996999999999</v>
      </c>
      <c r="C612" s="188">
        <v>0</v>
      </c>
      <c r="D612" s="188">
        <v>0</v>
      </c>
      <c r="E612" s="188">
        <v>0</v>
      </c>
      <c r="F612" s="188">
        <v>239.99996999999999</v>
      </c>
      <c r="G612" s="188">
        <v>0</v>
      </c>
      <c r="H612" t="s">
        <v>2288</v>
      </c>
      <c r="I612" t="s">
        <v>2342</v>
      </c>
    </row>
    <row r="613" spans="1:9" ht="15">
      <c r="A613" s="186" t="s">
        <v>1614</v>
      </c>
      <c r="B613" s="188">
        <v>0</v>
      </c>
      <c r="C613" s="188">
        <v>0</v>
      </c>
      <c r="D613" s="188">
        <v>30</v>
      </c>
      <c r="E613" s="188">
        <v>30</v>
      </c>
      <c r="F613" s="188">
        <v>0</v>
      </c>
      <c r="G613" s="188">
        <v>0</v>
      </c>
      <c r="H613"/>
      <c r="I613"/>
    </row>
    <row r="614" spans="1:9" ht="15">
      <c r="A614" s="186" t="s">
        <v>1615</v>
      </c>
      <c r="B614" s="188">
        <v>0</v>
      </c>
      <c r="C614" s="188">
        <v>0</v>
      </c>
      <c r="D614" s="188">
        <v>15670</v>
      </c>
      <c r="E614" s="188">
        <v>15670</v>
      </c>
      <c r="F614" s="188">
        <v>0</v>
      </c>
      <c r="G614" s="188">
        <v>0</v>
      </c>
      <c r="H614"/>
      <c r="I614"/>
    </row>
    <row r="615" spans="1:9" ht="15">
      <c r="A615" s="186" t="s">
        <v>1616</v>
      </c>
      <c r="B615" s="188">
        <v>1420</v>
      </c>
      <c r="C615" s="188">
        <v>0</v>
      </c>
      <c r="D615" s="188">
        <v>0</v>
      </c>
      <c r="E615" s="188">
        <v>760</v>
      </c>
      <c r="F615" s="188">
        <v>660</v>
      </c>
      <c r="G615" s="188">
        <v>0</v>
      </c>
      <c r="H615" t="s">
        <v>2288</v>
      </c>
      <c r="I615" t="s">
        <v>2391</v>
      </c>
    </row>
    <row r="616" spans="1:9" ht="15">
      <c r="A616" s="186" t="s">
        <v>1617</v>
      </c>
      <c r="B616" s="188">
        <v>0</v>
      </c>
      <c r="C616" s="188">
        <v>0</v>
      </c>
      <c r="D616" s="188">
        <v>38.950000000000003</v>
      </c>
      <c r="E616" s="188">
        <v>38.950000000000003</v>
      </c>
      <c r="F616" s="188">
        <v>0</v>
      </c>
      <c r="G616" s="188">
        <v>0</v>
      </c>
      <c r="H616"/>
      <c r="I616"/>
    </row>
    <row r="617" spans="1:9" ht="15">
      <c r="A617" s="186" t="s">
        <v>1618</v>
      </c>
      <c r="B617" s="188">
        <v>0</v>
      </c>
      <c r="C617" s="188">
        <v>0</v>
      </c>
      <c r="D617" s="188">
        <v>2381.2962900000002</v>
      </c>
      <c r="E617" s="188">
        <v>2381.2962900000002</v>
      </c>
      <c r="F617" s="188">
        <v>0</v>
      </c>
      <c r="G617" s="188">
        <v>0</v>
      </c>
      <c r="H617"/>
      <c r="I617"/>
    </row>
    <row r="618" spans="1:9" ht="15">
      <c r="A618" s="186" t="s">
        <v>1619</v>
      </c>
      <c r="B618" s="188">
        <v>0</v>
      </c>
      <c r="C618" s="188">
        <v>0</v>
      </c>
      <c r="D618" s="188">
        <v>205.57499999999999</v>
      </c>
      <c r="E618" s="188">
        <v>205.57499999999999</v>
      </c>
      <c r="F618" s="188">
        <v>0</v>
      </c>
      <c r="G618" s="188">
        <v>0</v>
      </c>
      <c r="H618"/>
      <c r="I618"/>
    </row>
    <row r="619" spans="1:9" ht="15">
      <c r="A619" s="186" t="s">
        <v>1620</v>
      </c>
      <c r="B619" s="188">
        <v>0</v>
      </c>
      <c r="C619" s="188">
        <v>0</v>
      </c>
      <c r="D619" s="188">
        <v>8226.2026000000005</v>
      </c>
      <c r="E619" s="188">
        <v>7390.5195999999996</v>
      </c>
      <c r="F619" s="188">
        <v>835.68299999999999</v>
      </c>
      <c r="G619" s="188">
        <v>0</v>
      </c>
      <c r="H619" t="s">
        <v>2288</v>
      </c>
      <c r="I619" t="s">
        <v>2392</v>
      </c>
    </row>
    <row r="620" spans="1:9" ht="15">
      <c r="A620" s="186" t="s">
        <v>1621</v>
      </c>
      <c r="B620" s="188">
        <v>20.062799999999999</v>
      </c>
      <c r="C620" s="188">
        <v>0</v>
      </c>
      <c r="D620" s="188">
        <v>0</v>
      </c>
      <c r="E620" s="188">
        <v>0</v>
      </c>
      <c r="F620" s="188">
        <v>20.062799999999999</v>
      </c>
      <c r="G620" s="188">
        <v>0</v>
      </c>
      <c r="H620" t="s">
        <v>2164</v>
      </c>
      <c r="I620" t="s">
        <v>2393</v>
      </c>
    </row>
    <row r="621" spans="1:9" ht="15">
      <c r="A621" s="186" t="s">
        <v>1622</v>
      </c>
      <c r="B621" s="188">
        <v>0</v>
      </c>
      <c r="C621" s="188">
        <v>0</v>
      </c>
      <c r="D621" s="188">
        <v>523.32000000000005</v>
      </c>
      <c r="E621" s="188">
        <v>523.32000000000005</v>
      </c>
      <c r="F621" s="188">
        <v>0</v>
      </c>
      <c r="G621" s="188">
        <v>0</v>
      </c>
      <c r="H621"/>
      <c r="I621"/>
    </row>
    <row r="622" spans="1:9" ht="15">
      <c r="A622" s="186" t="s">
        <v>1623</v>
      </c>
      <c r="B622" s="188">
        <v>0</v>
      </c>
      <c r="C622" s="188">
        <v>0</v>
      </c>
      <c r="D622" s="188">
        <v>6995.3226399999994</v>
      </c>
      <c r="E622" s="188">
        <v>6802.1908700000004</v>
      </c>
      <c r="F622" s="188">
        <v>193.13176999999999</v>
      </c>
      <c r="G622" s="188">
        <v>0</v>
      </c>
      <c r="H622" t="s">
        <v>2164</v>
      </c>
      <c r="I622" t="s">
        <v>2394</v>
      </c>
    </row>
    <row r="623" spans="1:9" ht="15">
      <c r="A623" s="186" t="s">
        <v>1624</v>
      </c>
      <c r="B623" s="188">
        <v>0</v>
      </c>
      <c r="C623" s="188">
        <v>0</v>
      </c>
      <c r="D623" s="188">
        <v>16812.684000000001</v>
      </c>
      <c r="E623" s="188">
        <v>16812.684000000001</v>
      </c>
      <c r="F623" s="188">
        <v>0</v>
      </c>
      <c r="G623" s="188">
        <v>0</v>
      </c>
      <c r="H623"/>
      <c r="I623"/>
    </row>
    <row r="624" spans="1:9" ht="15">
      <c r="A624" s="186" t="s">
        <v>1625</v>
      </c>
      <c r="B624" s="188">
        <v>0</v>
      </c>
      <c r="C624" s="188">
        <v>0</v>
      </c>
      <c r="D624" s="188">
        <v>9076.581900000001</v>
      </c>
      <c r="E624" s="188">
        <v>9076.581900000001</v>
      </c>
      <c r="F624" s="188">
        <v>0</v>
      </c>
      <c r="G624" s="188">
        <v>0</v>
      </c>
      <c r="H624"/>
      <c r="I624"/>
    </row>
    <row r="625" spans="1:9" ht="15">
      <c r="A625" s="186" t="s">
        <v>1626</v>
      </c>
      <c r="B625" s="188">
        <v>0</v>
      </c>
      <c r="C625" s="188">
        <v>0</v>
      </c>
      <c r="D625" s="188">
        <v>209</v>
      </c>
      <c r="E625" s="188">
        <v>209</v>
      </c>
      <c r="F625" s="188">
        <v>0</v>
      </c>
      <c r="G625" s="188">
        <v>0</v>
      </c>
      <c r="H625"/>
      <c r="I625"/>
    </row>
    <row r="626" spans="1:9" ht="15">
      <c r="A626" s="186" t="s">
        <v>1627</v>
      </c>
      <c r="B626" s="188">
        <v>0</v>
      </c>
      <c r="C626" s="188">
        <v>0</v>
      </c>
      <c r="D626" s="188">
        <v>503.1</v>
      </c>
      <c r="E626" s="188">
        <v>503.1</v>
      </c>
      <c r="F626" s="188">
        <v>0</v>
      </c>
      <c r="G626" s="188">
        <v>0</v>
      </c>
      <c r="H626"/>
      <c r="I626"/>
    </row>
    <row r="627" spans="1:9" ht="15">
      <c r="A627" s="186" t="s">
        <v>1628</v>
      </c>
      <c r="B627" s="188">
        <v>0</v>
      </c>
      <c r="C627" s="188">
        <v>0</v>
      </c>
      <c r="D627" s="188">
        <v>41.649610000000003</v>
      </c>
      <c r="E627" s="188">
        <v>41.649610000000003</v>
      </c>
      <c r="F627" s="188">
        <v>0</v>
      </c>
      <c r="G627" s="188">
        <v>0</v>
      </c>
      <c r="H627"/>
      <c r="I627"/>
    </row>
    <row r="628" spans="1:9" ht="15">
      <c r="A628" s="186" t="s">
        <v>1629</v>
      </c>
      <c r="B628" s="188">
        <v>23704</v>
      </c>
      <c r="C628" s="188">
        <v>0</v>
      </c>
      <c r="D628" s="188">
        <v>0</v>
      </c>
      <c r="E628" s="188">
        <v>0</v>
      </c>
      <c r="F628" s="188">
        <v>23704</v>
      </c>
      <c r="G628" s="188">
        <v>0</v>
      </c>
      <c r="H628" t="s">
        <v>2164</v>
      </c>
      <c r="I628" t="s">
        <v>2304</v>
      </c>
    </row>
    <row r="629" spans="1:9" ht="15">
      <c r="A629" s="186" t="s">
        <v>1630</v>
      </c>
      <c r="B629" s="188">
        <v>0</v>
      </c>
      <c r="C629" s="188">
        <v>0</v>
      </c>
      <c r="D629" s="188">
        <v>335.98500000000001</v>
      </c>
      <c r="E629" s="188">
        <v>335.98500000000001</v>
      </c>
      <c r="F629" s="188">
        <v>0</v>
      </c>
      <c r="G629" s="188">
        <v>0</v>
      </c>
      <c r="H629"/>
      <c r="I629"/>
    </row>
    <row r="630" spans="1:9" ht="15">
      <c r="A630" s="186" t="s">
        <v>1631</v>
      </c>
      <c r="B630" s="188">
        <v>4748.8649999999998</v>
      </c>
      <c r="C630" s="188">
        <v>0</v>
      </c>
      <c r="D630" s="188">
        <v>12002.19534</v>
      </c>
      <c r="E630" s="188">
        <v>12702.19534</v>
      </c>
      <c r="F630" s="188">
        <v>4048.8649999999998</v>
      </c>
      <c r="G630" s="188">
        <v>0</v>
      </c>
      <c r="H630" t="s">
        <v>2288</v>
      </c>
      <c r="I630" t="s">
        <v>2395</v>
      </c>
    </row>
    <row r="631" spans="1:9" ht="15">
      <c r="A631" s="186" t="s">
        <v>1632</v>
      </c>
      <c r="B631" s="188">
        <v>0</v>
      </c>
      <c r="C631" s="188">
        <v>0</v>
      </c>
      <c r="D631" s="188">
        <v>41.31</v>
      </c>
      <c r="E631" s="188">
        <v>41.31</v>
      </c>
      <c r="F631" s="188">
        <v>0</v>
      </c>
      <c r="G631" s="188">
        <v>0</v>
      </c>
      <c r="H631"/>
      <c r="I631"/>
    </row>
    <row r="632" spans="1:9" ht="15">
      <c r="A632" s="186" t="s">
        <v>1633</v>
      </c>
      <c r="B632" s="188">
        <v>300</v>
      </c>
      <c r="C632" s="188">
        <v>0</v>
      </c>
      <c r="D632" s="188">
        <v>0</v>
      </c>
      <c r="E632" s="188">
        <v>0</v>
      </c>
      <c r="F632" s="188">
        <v>300</v>
      </c>
      <c r="G632" s="188">
        <v>0</v>
      </c>
      <c r="H632" t="s">
        <v>2164</v>
      </c>
      <c r="I632" t="s">
        <v>2396</v>
      </c>
    </row>
    <row r="633" spans="1:9" ht="15">
      <c r="A633" s="186" t="s">
        <v>1634</v>
      </c>
      <c r="B633" s="188">
        <v>712.4</v>
      </c>
      <c r="C633" s="188">
        <v>0</v>
      </c>
      <c r="D633" s="188">
        <v>0</v>
      </c>
      <c r="E633" s="188">
        <v>712.4</v>
      </c>
      <c r="F633" s="188">
        <v>0</v>
      </c>
      <c r="G633" s="188">
        <v>0</v>
      </c>
      <c r="H633"/>
      <c r="I633"/>
    </row>
    <row r="634" spans="1:9" ht="15">
      <c r="A634" s="186" t="s">
        <v>1635</v>
      </c>
      <c r="B634" s="188">
        <v>0</v>
      </c>
      <c r="C634" s="188">
        <v>0</v>
      </c>
      <c r="D634" s="188">
        <v>128</v>
      </c>
      <c r="E634" s="188">
        <v>128</v>
      </c>
      <c r="F634" s="188">
        <v>0</v>
      </c>
      <c r="G634" s="188">
        <v>0</v>
      </c>
      <c r="H634"/>
      <c r="I634"/>
    </row>
    <row r="635" spans="1:9" ht="15">
      <c r="A635" s="186" t="s">
        <v>1636</v>
      </c>
      <c r="B635" s="188">
        <v>0</v>
      </c>
      <c r="C635" s="188">
        <v>0</v>
      </c>
      <c r="D635" s="188">
        <v>2288.7600000000002</v>
      </c>
      <c r="E635" s="188">
        <v>2288.7600000000002</v>
      </c>
      <c r="F635" s="188">
        <v>0</v>
      </c>
      <c r="G635" s="188">
        <v>0</v>
      </c>
      <c r="H635"/>
      <c r="I635"/>
    </row>
    <row r="636" spans="1:9" ht="15">
      <c r="A636" s="186" t="s">
        <v>1637</v>
      </c>
      <c r="B636" s="188">
        <v>0</v>
      </c>
      <c r="C636" s="188">
        <v>0</v>
      </c>
      <c r="D636" s="188">
        <v>3917.826</v>
      </c>
      <c r="E636" s="188">
        <v>3917.826</v>
      </c>
      <c r="F636" s="188">
        <v>0</v>
      </c>
      <c r="G636" s="188">
        <v>0</v>
      </c>
      <c r="H636"/>
      <c r="I636"/>
    </row>
    <row r="637" spans="1:9" ht="15">
      <c r="A637" s="186" t="s">
        <v>1638</v>
      </c>
      <c r="B637" s="188">
        <v>0</v>
      </c>
      <c r="C637" s="188">
        <v>0</v>
      </c>
      <c r="D637" s="188">
        <v>11425.67496</v>
      </c>
      <c r="E637" s="188">
        <v>11425.67496</v>
      </c>
      <c r="F637" s="188">
        <v>0</v>
      </c>
      <c r="G637" s="188">
        <v>0</v>
      </c>
      <c r="H637"/>
      <c r="I637"/>
    </row>
    <row r="638" spans="1:9" ht="15">
      <c r="A638" s="186" t="s">
        <v>1004</v>
      </c>
      <c r="B638" s="188">
        <v>0</v>
      </c>
      <c r="C638" s="188">
        <v>0</v>
      </c>
      <c r="D638" s="188">
        <v>10.7744</v>
      </c>
      <c r="E638" s="188">
        <v>10.7744</v>
      </c>
      <c r="F638" s="188">
        <v>0</v>
      </c>
      <c r="G638" s="188">
        <v>0</v>
      </c>
      <c r="H638"/>
      <c r="I638"/>
    </row>
    <row r="639" spans="1:9" ht="15">
      <c r="A639" s="186" t="s">
        <v>1639</v>
      </c>
      <c r="B639" s="188">
        <v>571</v>
      </c>
      <c r="C639" s="188">
        <v>0</v>
      </c>
      <c r="D639" s="188">
        <v>3004.1849999999999</v>
      </c>
      <c r="E639" s="188">
        <v>2981.1849999999999</v>
      </c>
      <c r="F639" s="188">
        <v>594</v>
      </c>
      <c r="G639" s="188">
        <v>0</v>
      </c>
      <c r="H639" t="s">
        <v>2288</v>
      </c>
      <c r="I639" t="s">
        <v>2380</v>
      </c>
    </row>
    <row r="640" spans="1:9" ht="15">
      <c r="A640" s="186" t="s">
        <v>1640</v>
      </c>
      <c r="B640" s="188">
        <v>0</v>
      </c>
      <c r="C640" s="188">
        <v>0</v>
      </c>
      <c r="D640" s="188">
        <v>414</v>
      </c>
      <c r="E640" s="188">
        <v>414</v>
      </c>
      <c r="F640" s="188">
        <v>0</v>
      </c>
      <c r="G640" s="188">
        <v>0</v>
      </c>
      <c r="H640"/>
      <c r="I640"/>
    </row>
    <row r="641" spans="1:9" ht="15">
      <c r="A641" s="186" t="s">
        <v>1641</v>
      </c>
      <c r="B641" s="188">
        <v>625.98</v>
      </c>
      <c r="C641" s="188">
        <v>0</v>
      </c>
      <c r="D641" s="188">
        <v>2441.86</v>
      </c>
      <c r="E641" s="188">
        <v>2433.86</v>
      </c>
      <c r="F641" s="188">
        <v>633.98</v>
      </c>
      <c r="G641" s="188">
        <v>0</v>
      </c>
      <c r="H641" t="s">
        <v>2288</v>
      </c>
      <c r="I641" t="s">
        <v>2397</v>
      </c>
    </row>
    <row r="642" spans="1:9" ht="15">
      <c r="A642" s="186" t="s">
        <v>1642</v>
      </c>
      <c r="B642" s="188">
        <v>0</v>
      </c>
      <c r="C642" s="188">
        <v>0</v>
      </c>
      <c r="D642" s="188">
        <v>32735.62657</v>
      </c>
      <c r="E642" s="188">
        <v>32735.62657</v>
      </c>
      <c r="F642" s="188">
        <v>0</v>
      </c>
      <c r="G642" s="188">
        <v>0</v>
      </c>
      <c r="H642"/>
      <c r="I642"/>
    </row>
    <row r="643" spans="1:9" ht="15">
      <c r="A643" s="186" t="s">
        <v>1643</v>
      </c>
      <c r="B643" s="188">
        <v>0</v>
      </c>
      <c r="C643" s="188">
        <v>0</v>
      </c>
      <c r="D643" s="188">
        <v>1120.2</v>
      </c>
      <c r="E643" s="188">
        <v>1120.2</v>
      </c>
      <c r="F643" s="188">
        <v>0</v>
      </c>
      <c r="G643" s="188">
        <v>0</v>
      </c>
      <c r="H643"/>
      <c r="I643"/>
    </row>
    <row r="644" spans="1:9" ht="15">
      <c r="A644" s="186" t="s">
        <v>1644</v>
      </c>
      <c r="B644" s="188">
        <v>281.45</v>
      </c>
      <c r="C644" s="188">
        <v>0</v>
      </c>
      <c r="D644" s="188">
        <v>4567.8900000000003</v>
      </c>
      <c r="E644" s="188">
        <v>3491.44</v>
      </c>
      <c r="F644" s="188">
        <v>1357.9</v>
      </c>
      <c r="G644" s="188">
        <v>0</v>
      </c>
      <c r="H644" t="s">
        <v>2164</v>
      </c>
      <c r="I644" t="s">
        <v>2398</v>
      </c>
    </row>
    <row r="645" spans="1:9" ht="15">
      <c r="A645" s="186" t="s">
        <v>1645</v>
      </c>
      <c r="B645" s="188">
        <v>0</v>
      </c>
      <c r="C645" s="188">
        <v>0</v>
      </c>
      <c r="D645" s="188">
        <v>50827.01066</v>
      </c>
      <c r="E645" s="188">
        <v>50827.01066</v>
      </c>
      <c r="F645" s="188">
        <v>0</v>
      </c>
      <c r="G645" s="188">
        <v>0</v>
      </c>
      <c r="H645"/>
      <c r="I645"/>
    </row>
    <row r="646" spans="1:9" ht="15">
      <c r="A646" s="186" t="s">
        <v>1646</v>
      </c>
      <c r="B646" s="188">
        <v>0</v>
      </c>
      <c r="C646" s="188">
        <v>0</v>
      </c>
      <c r="D646" s="188">
        <v>114.4</v>
      </c>
      <c r="E646" s="188">
        <v>0</v>
      </c>
      <c r="F646" s="188">
        <v>114.4</v>
      </c>
      <c r="G646" s="188">
        <v>0</v>
      </c>
      <c r="H646" t="s">
        <v>2164</v>
      </c>
      <c r="I646" t="s">
        <v>2399</v>
      </c>
    </row>
    <row r="647" spans="1:9" ht="15">
      <c r="A647" s="186" t="s">
        <v>1647</v>
      </c>
      <c r="B647" s="188">
        <v>0</v>
      </c>
      <c r="C647" s="188">
        <v>0</v>
      </c>
      <c r="D647" s="188">
        <v>4838.2673199999999</v>
      </c>
      <c r="E647" s="188">
        <v>4838.2673199999999</v>
      </c>
      <c r="F647" s="188">
        <v>0</v>
      </c>
      <c r="G647" s="188">
        <v>0</v>
      </c>
      <c r="H647"/>
      <c r="I647"/>
    </row>
    <row r="648" spans="1:9" ht="15">
      <c r="A648" s="186" t="s">
        <v>1648</v>
      </c>
      <c r="B648" s="188">
        <v>0</v>
      </c>
      <c r="C648" s="188">
        <v>0</v>
      </c>
      <c r="D648" s="188">
        <v>588</v>
      </c>
      <c r="E648" s="188">
        <v>396</v>
      </c>
      <c r="F648" s="188">
        <v>192</v>
      </c>
      <c r="G648" s="188">
        <v>0</v>
      </c>
      <c r="H648" t="s">
        <v>2365</v>
      </c>
      <c r="I648" t="s">
        <v>2400</v>
      </c>
    </row>
    <row r="649" spans="1:9" ht="15">
      <c r="A649" s="186" t="s">
        <v>1649</v>
      </c>
      <c r="B649" s="188">
        <v>48.65</v>
      </c>
      <c r="C649" s="188">
        <v>0</v>
      </c>
      <c r="D649" s="188">
        <v>0</v>
      </c>
      <c r="E649" s="188">
        <v>0</v>
      </c>
      <c r="F649" s="188">
        <v>48.65</v>
      </c>
      <c r="G649" s="188">
        <v>0</v>
      </c>
      <c r="H649" t="s">
        <v>2288</v>
      </c>
      <c r="I649" t="s">
        <v>2380</v>
      </c>
    </row>
    <row r="650" spans="1:9" ht="15">
      <c r="A650" s="186" t="s">
        <v>1650</v>
      </c>
      <c r="B650" s="188">
        <v>0</v>
      </c>
      <c r="C650" s="188">
        <v>0</v>
      </c>
      <c r="D650" s="188">
        <v>2682.4</v>
      </c>
      <c r="E650" s="188">
        <v>2682.4</v>
      </c>
      <c r="F650" s="188">
        <v>0</v>
      </c>
      <c r="G650" s="188">
        <v>0</v>
      </c>
      <c r="H650"/>
      <c r="I650"/>
    </row>
    <row r="651" spans="1:9" ht="15">
      <c r="A651" s="186" t="s">
        <v>1651</v>
      </c>
      <c r="B651" s="188">
        <v>0</v>
      </c>
      <c r="C651" s="188">
        <v>0</v>
      </c>
      <c r="D651" s="188">
        <v>1108.8</v>
      </c>
      <c r="E651" s="188">
        <v>1108.8</v>
      </c>
      <c r="F651" s="188">
        <v>0</v>
      </c>
      <c r="G651" s="188">
        <v>0</v>
      </c>
      <c r="H651"/>
      <c r="I651"/>
    </row>
    <row r="652" spans="1:9" ht="15">
      <c r="A652" s="186" t="s">
        <v>1652</v>
      </c>
      <c r="B652" s="188">
        <v>0</v>
      </c>
      <c r="C652" s="188">
        <v>0</v>
      </c>
      <c r="D652" s="188">
        <v>4847.2710299999999</v>
      </c>
      <c r="E652" s="188">
        <v>4847.2710299999999</v>
      </c>
      <c r="F652" s="188">
        <v>0</v>
      </c>
      <c r="G652" s="188">
        <v>0</v>
      </c>
      <c r="H652"/>
      <c r="I652"/>
    </row>
    <row r="653" spans="1:9" ht="15">
      <c r="A653" s="186" t="s">
        <v>1653</v>
      </c>
      <c r="B653" s="188">
        <v>0</v>
      </c>
      <c r="C653" s="188">
        <v>0</v>
      </c>
      <c r="D653" s="188">
        <v>592794.64059000008</v>
      </c>
      <c r="E653" s="188">
        <v>592794.64059000008</v>
      </c>
      <c r="F653" s="188">
        <v>0</v>
      </c>
      <c r="G653" s="188">
        <v>0</v>
      </c>
      <c r="H653"/>
      <c r="I653"/>
    </row>
    <row r="654" spans="1:9" ht="15">
      <c r="A654" s="186" t="s">
        <v>1654</v>
      </c>
      <c r="B654" s="188">
        <v>1242.6024</v>
      </c>
      <c r="C654" s="188">
        <v>0</v>
      </c>
      <c r="D654" s="188">
        <v>0</v>
      </c>
      <c r="E654" s="188">
        <v>0</v>
      </c>
      <c r="F654" s="188">
        <v>1242.6024</v>
      </c>
      <c r="G654" s="188">
        <v>0</v>
      </c>
      <c r="H654" t="s">
        <v>2283</v>
      </c>
      <c r="I654"/>
    </row>
    <row r="655" spans="1:9" ht="15">
      <c r="A655" s="186" t="s">
        <v>1655</v>
      </c>
      <c r="B655" s="188">
        <v>89.6</v>
      </c>
      <c r="C655" s="188">
        <v>0</v>
      </c>
      <c r="D655" s="188">
        <v>334.4</v>
      </c>
      <c r="E655" s="188">
        <v>334.4</v>
      </c>
      <c r="F655" s="188">
        <v>89.6</v>
      </c>
      <c r="G655" s="188">
        <v>0</v>
      </c>
      <c r="H655" t="s">
        <v>2288</v>
      </c>
      <c r="I655" t="s">
        <v>2380</v>
      </c>
    </row>
    <row r="656" spans="1:9" ht="15">
      <c r="A656" s="186" t="s">
        <v>1656</v>
      </c>
      <c r="B656" s="188">
        <v>0</v>
      </c>
      <c r="C656" s="188">
        <v>0</v>
      </c>
      <c r="D656" s="188">
        <v>344</v>
      </c>
      <c r="E656" s="188">
        <v>124</v>
      </c>
      <c r="F656" s="188">
        <v>220</v>
      </c>
      <c r="G656" s="188">
        <v>0</v>
      </c>
      <c r="H656" t="s">
        <v>2288</v>
      </c>
      <c r="I656" t="s">
        <v>2401</v>
      </c>
    </row>
    <row r="657" spans="1:9" ht="15">
      <c r="A657" s="186" t="s">
        <v>1657</v>
      </c>
      <c r="B657" s="188">
        <v>0</v>
      </c>
      <c r="C657" s="188">
        <v>0</v>
      </c>
      <c r="D657" s="188">
        <v>25096.140600000002</v>
      </c>
      <c r="E657" s="188">
        <v>25096.140600000002</v>
      </c>
      <c r="F657" s="188">
        <v>0</v>
      </c>
      <c r="G657" s="188">
        <v>0</v>
      </c>
      <c r="H657"/>
      <c r="I657"/>
    </row>
    <row r="658" spans="1:9" ht="15">
      <c r="A658" s="186" t="s">
        <v>1658</v>
      </c>
      <c r="B658" s="188">
        <v>0</v>
      </c>
      <c r="C658" s="188">
        <v>0</v>
      </c>
      <c r="D658" s="188">
        <v>29062</v>
      </c>
      <c r="E658" s="188">
        <v>29062</v>
      </c>
      <c r="F658" s="188">
        <v>0</v>
      </c>
      <c r="G658" s="188">
        <v>0</v>
      </c>
      <c r="H658"/>
      <c r="I658"/>
    </row>
    <row r="659" spans="1:9" ht="15">
      <c r="A659" s="186" t="s">
        <v>1659</v>
      </c>
      <c r="B659" s="188">
        <v>0</v>
      </c>
      <c r="C659" s="188">
        <v>0</v>
      </c>
      <c r="D659" s="188">
        <v>540.5865</v>
      </c>
      <c r="E659" s="188">
        <v>540.5865</v>
      </c>
      <c r="F659" s="188">
        <v>0</v>
      </c>
      <c r="G659" s="188">
        <v>0</v>
      </c>
      <c r="H659"/>
      <c r="I659"/>
    </row>
    <row r="660" spans="1:9" ht="15">
      <c r="A660" s="186" t="s">
        <v>1660</v>
      </c>
      <c r="B660" s="188">
        <v>0</v>
      </c>
      <c r="C660" s="188">
        <v>0</v>
      </c>
      <c r="D660" s="188">
        <v>22</v>
      </c>
      <c r="E660" s="188">
        <v>22</v>
      </c>
      <c r="F660" s="188">
        <v>0</v>
      </c>
      <c r="G660" s="188">
        <v>0</v>
      </c>
      <c r="H660"/>
      <c r="I660"/>
    </row>
    <row r="661" spans="1:9" ht="15">
      <c r="A661" s="186" t="s">
        <v>1661</v>
      </c>
      <c r="B661" s="188">
        <v>0</v>
      </c>
      <c r="C661" s="188">
        <v>0</v>
      </c>
      <c r="D661" s="188">
        <v>298538.79055000003</v>
      </c>
      <c r="E661" s="188">
        <v>298538.79055000003</v>
      </c>
      <c r="F661" s="188">
        <v>0</v>
      </c>
      <c r="G661" s="188">
        <v>0</v>
      </c>
      <c r="H661"/>
      <c r="I661"/>
    </row>
    <row r="662" spans="1:9" ht="15">
      <c r="A662" s="186" t="s">
        <v>1662</v>
      </c>
      <c r="B662" s="188">
        <v>0</v>
      </c>
      <c r="C662" s="188">
        <v>0</v>
      </c>
      <c r="D662" s="188">
        <v>725.08</v>
      </c>
      <c r="E662" s="188">
        <v>725.08</v>
      </c>
      <c r="F662" s="188">
        <v>0</v>
      </c>
      <c r="G662" s="188">
        <v>0</v>
      </c>
      <c r="H662"/>
      <c r="I662"/>
    </row>
    <row r="663" spans="1:9" ht="15">
      <c r="A663" s="186" t="s">
        <v>1663</v>
      </c>
      <c r="B663" s="188">
        <v>0</v>
      </c>
      <c r="C663" s="188">
        <v>0</v>
      </c>
      <c r="D663" s="188">
        <v>40</v>
      </c>
      <c r="E663" s="188">
        <v>40</v>
      </c>
      <c r="F663" s="188">
        <v>0</v>
      </c>
      <c r="G663" s="188">
        <v>0</v>
      </c>
      <c r="H663"/>
      <c r="I663"/>
    </row>
    <row r="664" spans="1:9" ht="15">
      <c r="A664" s="186" t="s">
        <v>1664</v>
      </c>
      <c r="B664" s="188">
        <v>12000</v>
      </c>
      <c r="C664" s="188">
        <v>0</v>
      </c>
      <c r="D664" s="188">
        <v>20755</v>
      </c>
      <c r="E664" s="188">
        <v>32735</v>
      </c>
      <c r="F664" s="188">
        <v>20</v>
      </c>
      <c r="G664" s="188">
        <v>0</v>
      </c>
      <c r="H664" t="s">
        <v>2365</v>
      </c>
      <c r="I664" t="s">
        <v>2402</v>
      </c>
    </row>
    <row r="665" spans="1:9" ht="15">
      <c r="A665" s="186" t="s">
        <v>1012</v>
      </c>
      <c r="B665" s="188">
        <v>0</v>
      </c>
      <c r="C665" s="188">
        <v>0</v>
      </c>
      <c r="D665" s="188">
        <v>1669.5</v>
      </c>
      <c r="E665" s="188">
        <v>1669.5</v>
      </c>
      <c r="F665" s="188">
        <v>0</v>
      </c>
      <c r="G665" s="188">
        <v>0</v>
      </c>
      <c r="H665"/>
      <c r="I665"/>
    </row>
    <row r="666" spans="1:9" ht="15">
      <c r="A666" s="186" t="s">
        <v>1665</v>
      </c>
      <c r="B666" s="188">
        <v>0</v>
      </c>
      <c r="C666" s="188">
        <v>0</v>
      </c>
      <c r="D666" s="188">
        <v>2650.25909</v>
      </c>
      <c r="E666" s="188">
        <v>2650.25909</v>
      </c>
      <c r="F666" s="188">
        <v>0</v>
      </c>
      <c r="G666" s="188">
        <v>0</v>
      </c>
      <c r="H666"/>
      <c r="I666"/>
    </row>
    <row r="667" spans="1:9" ht="15">
      <c r="A667" s="186" t="s">
        <v>1666</v>
      </c>
      <c r="B667" s="188">
        <v>443.3</v>
      </c>
      <c r="C667" s="188">
        <v>0</v>
      </c>
      <c r="D667" s="188">
        <v>443.3</v>
      </c>
      <c r="E667" s="188">
        <v>443.3</v>
      </c>
      <c r="F667" s="188">
        <v>443.3</v>
      </c>
      <c r="G667" s="188">
        <v>0</v>
      </c>
      <c r="H667" t="s">
        <v>2164</v>
      </c>
      <c r="I667" t="s">
        <v>2331</v>
      </c>
    </row>
    <row r="668" spans="1:9" ht="15">
      <c r="A668" s="186" t="s">
        <v>1667</v>
      </c>
      <c r="B668" s="188">
        <v>22.204999999999998</v>
      </c>
      <c r="C668" s="188">
        <v>0</v>
      </c>
      <c r="D668" s="188">
        <v>0</v>
      </c>
      <c r="E668" s="188">
        <v>0</v>
      </c>
      <c r="F668" s="188">
        <v>22.204999999999998</v>
      </c>
      <c r="G668" s="188">
        <v>0</v>
      </c>
      <c r="H668" t="s">
        <v>2164</v>
      </c>
      <c r="I668" t="s">
        <v>2403</v>
      </c>
    </row>
    <row r="669" spans="1:9" ht="15">
      <c r="A669" s="186" t="s">
        <v>1668</v>
      </c>
      <c r="B669" s="188">
        <v>0</v>
      </c>
      <c r="C669" s="188">
        <v>0</v>
      </c>
      <c r="D669" s="188">
        <v>4574.18</v>
      </c>
      <c r="E669" s="188">
        <v>4574.18</v>
      </c>
      <c r="F669" s="188">
        <v>0</v>
      </c>
      <c r="G669" s="188">
        <v>0</v>
      </c>
      <c r="H669"/>
      <c r="I669"/>
    </row>
    <row r="670" spans="1:9" ht="15">
      <c r="A670" s="186" t="s">
        <v>1669</v>
      </c>
      <c r="B670" s="188">
        <v>1.1345000000000001</v>
      </c>
      <c r="C670" s="188">
        <v>0</v>
      </c>
      <c r="D670" s="188">
        <v>0</v>
      </c>
      <c r="E670" s="188">
        <v>1.1345000000000001</v>
      </c>
      <c r="F670" s="188">
        <v>0</v>
      </c>
      <c r="G670" s="188">
        <v>0</v>
      </c>
      <c r="H670"/>
      <c r="I670"/>
    </row>
    <row r="671" spans="1:9" ht="15">
      <c r="A671" s="186" t="s">
        <v>1670</v>
      </c>
      <c r="B671" s="188">
        <v>0</v>
      </c>
      <c r="C671" s="188">
        <v>0</v>
      </c>
      <c r="D671" s="188">
        <v>205.4</v>
      </c>
      <c r="E671" s="188">
        <v>205.4</v>
      </c>
      <c r="F671" s="188">
        <v>0</v>
      </c>
      <c r="G671" s="188">
        <v>0</v>
      </c>
      <c r="H671"/>
      <c r="I671"/>
    </row>
    <row r="672" spans="1:9" ht="15">
      <c r="A672" s="186" t="s">
        <v>1671</v>
      </c>
      <c r="B672" s="188">
        <v>0</v>
      </c>
      <c r="C672" s="188">
        <v>0</v>
      </c>
      <c r="D672" s="188">
        <v>1500</v>
      </c>
      <c r="E672" s="188">
        <v>1500</v>
      </c>
      <c r="F672" s="188">
        <v>0</v>
      </c>
      <c r="G672" s="188">
        <v>0</v>
      </c>
      <c r="H672"/>
      <c r="I672"/>
    </row>
    <row r="673" spans="1:9" ht="15">
      <c r="A673" s="186" t="s">
        <v>1016</v>
      </c>
      <c r="B673" s="188">
        <v>0</v>
      </c>
      <c r="C673" s="188">
        <v>0</v>
      </c>
      <c r="D673" s="188">
        <v>204</v>
      </c>
      <c r="E673" s="188">
        <v>0</v>
      </c>
      <c r="F673" s="188">
        <v>204</v>
      </c>
      <c r="G673" s="188">
        <v>0</v>
      </c>
      <c r="H673" t="s">
        <v>2288</v>
      </c>
      <c r="I673" t="s">
        <v>2404</v>
      </c>
    </row>
    <row r="674" spans="1:9" ht="15">
      <c r="A674" s="186" t="s">
        <v>1672</v>
      </c>
      <c r="B674" s="188">
        <v>0</v>
      </c>
      <c r="C674" s="188">
        <v>0</v>
      </c>
      <c r="D674" s="188">
        <v>706.98400000000004</v>
      </c>
      <c r="E674" s="188">
        <v>706.98400000000004</v>
      </c>
      <c r="F674" s="188">
        <v>0</v>
      </c>
      <c r="G674" s="188">
        <v>0</v>
      </c>
      <c r="H674"/>
      <c r="I674"/>
    </row>
    <row r="675" spans="1:9" ht="15">
      <c r="A675" s="186" t="s">
        <v>1673</v>
      </c>
      <c r="B675" s="188">
        <v>0</v>
      </c>
      <c r="C675" s="188">
        <v>0</v>
      </c>
      <c r="D675" s="188">
        <v>3668.3584000000001</v>
      </c>
      <c r="E675" s="188">
        <v>3668.3584000000001</v>
      </c>
      <c r="F675" s="188">
        <v>0</v>
      </c>
      <c r="G675" s="188">
        <v>0</v>
      </c>
      <c r="H675"/>
      <c r="I675"/>
    </row>
    <row r="676" spans="1:9" ht="15">
      <c r="A676" s="186" t="s">
        <v>1674</v>
      </c>
      <c r="B676" s="188">
        <v>0</v>
      </c>
      <c r="C676" s="188">
        <v>0</v>
      </c>
      <c r="D676" s="188">
        <v>147</v>
      </c>
      <c r="E676" s="188">
        <v>147</v>
      </c>
      <c r="F676" s="188">
        <v>0</v>
      </c>
      <c r="G676" s="188">
        <v>0</v>
      </c>
      <c r="H676"/>
      <c r="I676"/>
    </row>
    <row r="677" spans="1:9" ht="15">
      <c r="A677" s="186" t="s">
        <v>1675</v>
      </c>
      <c r="B677" s="188">
        <v>3887.7786099999998</v>
      </c>
      <c r="C677" s="188">
        <v>0</v>
      </c>
      <c r="D677" s="188">
        <v>76696.226079999993</v>
      </c>
      <c r="E677" s="188">
        <v>80584.004690000002</v>
      </c>
      <c r="F677" s="188">
        <v>0</v>
      </c>
      <c r="G677" s="188">
        <v>0</v>
      </c>
      <c r="H677"/>
      <c r="I677"/>
    </row>
    <row r="678" spans="1:9" ht="15">
      <c r="A678" s="186" t="s">
        <v>1676</v>
      </c>
      <c r="B678" s="188">
        <v>13500</v>
      </c>
      <c r="C678" s="188">
        <v>0</v>
      </c>
      <c r="D678" s="188">
        <v>0</v>
      </c>
      <c r="E678" s="188">
        <v>13500</v>
      </c>
      <c r="F678" s="188">
        <v>0</v>
      </c>
      <c r="G678" s="188">
        <v>0</v>
      </c>
      <c r="H678"/>
      <c r="I678"/>
    </row>
    <row r="679" spans="1:9" ht="15">
      <c r="A679" s="186" t="s">
        <v>1677</v>
      </c>
      <c r="B679" s="188">
        <v>372</v>
      </c>
      <c r="C679" s="188">
        <v>0</v>
      </c>
      <c r="D679" s="188">
        <v>0</v>
      </c>
      <c r="E679" s="188">
        <v>372</v>
      </c>
      <c r="F679" s="188">
        <v>0</v>
      </c>
      <c r="G679" s="188">
        <v>0</v>
      </c>
      <c r="H679"/>
      <c r="I679"/>
    </row>
    <row r="680" spans="1:9" ht="15">
      <c r="A680" s="186" t="s">
        <v>1678</v>
      </c>
      <c r="B680" s="188">
        <v>0</v>
      </c>
      <c r="C680" s="188">
        <v>0</v>
      </c>
      <c r="D680" s="188">
        <v>248.4</v>
      </c>
      <c r="E680" s="188">
        <v>248.4</v>
      </c>
      <c r="F680" s="188">
        <v>0</v>
      </c>
      <c r="G680" s="188">
        <v>0</v>
      </c>
      <c r="H680"/>
      <c r="I680"/>
    </row>
    <row r="681" spans="1:9" ht="15">
      <c r="A681" s="186" t="s">
        <v>1679</v>
      </c>
      <c r="B681" s="188">
        <v>4443.38195</v>
      </c>
      <c r="C681" s="188">
        <v>0</v>
      </c>
      <c r="D681" s="188">
        <v>25456.4954</v>
      </c>
      <c r="E681" s="188">
        <v>29895.127350000002</v>
      </c>
      <c r="F681" s="188">
        <v>4.75</v>
      </c>
      <c r="G681" s="188">
        <v>0</v>
      </c>
      <c r="H681" t="s">
        <v>2365</v>
      </c>
      <c r="I681" t="s">
        <v>2405</v>
      </c>
    </row>
    <row r="682" spans="1:9" ht="15">
      <c r="A682" s="186" t="s">
        <v>1680</v>
      </c>
      <c r="B682" s="188">
        <v>0</v>
      </c>
      <c r="C682" s="188">
        <v>0</v>
      </c>
      <c r="D682" s="188">
        <v>44.2</v>
      </c>
      <c r="E682" s="188">
        <v>44.2</v>
      </c>
      <c r="F682" s="188">
        <v>0</v>
      </c>
      <c r="G682" s="188">
        <v>0</v>
      </c>
      <c r="H682"/>
      <c r="I682"/>
    </row>
    <row r="683" spans="1:9" ht="15">
      <c r="A683" s="186" t="s">
        <v>1681</v>
      </c>
      <c r="B683" s="188">
        <v>0</v>
      </c>
      <c r="C683" s="188">
        <v>0</v>
      </c>
      <c r="D683" s="188">
        <v>790</v>
      </c>
      <c r="E683" s="188">
        <v>790</v>
      </c>
      <c r="F683" s="188">
        <v>0</v>
      </c>
      <c r="G683" s="188">
        <v>0</v>
      </c>
      <c r="H683"/>
      <c r="I683"/>
    </row>
    <row r="684" spans="1:9" ht="15">
      <c r="A684" s="186" t="s">
        <v>1682</v>
      </c>
      <c r="B684" s="188">
        <v>0</v>
      </c>
      <c r="C684" s="188">
        <v>0</v>
      </c>
      <c r="D684" s="188">
        <v>13614.771500000001</v>
      </c>
      <c r="E684" s="188">
        <v>13614.771500000001</v>
      </c>
      <c r="F684" s="188">
        <v>0</v>
      </c>
      <c r="G684" s="188">
        <v>0</v>
      </c>
      <c r="H684"/>
      <c r="I684"/>
    </row>
    <row r="685" spans="1:9" ht="15">
      <c r="A685" s="186" t="s">
        <v>1683</v>
      </c>
      <c r="B685" s="188">
        <v>0</v>
      </c>
      <c r="C685" s="188">
        <v>0</v>
      </c>
      <c r="D685" s="188">
        <v>15</v>
      </c>
      <c r="E685" s="188">
        <v>15</v>
      </c>
      <c r="F685" s="188">
        <v>0</v>
      </c>
      <c r="G685" s="188">
        <v>0</v>
      </c>
      <c r="H685"/>
      <c r="I685"/>
    </row>
    <row r="686" spans="1:9" ht="15">
      <c r="A686" s="186" t="s">
        <v>1684</v>
      </c>
      <c r="B686" s="188">
        <v>0</v>
      </c>
      <c r="C686" s="188">
        <v>0</v>
      </c>
      <c r="D686" s="188">
        <v>3121.875</v>
      </c>
      <c r="E686" s="188">
        <v>3121.875</v>
      </c>
      <c r="F686" s="188">
        <v>0</v>
      </c>
      <c r="G686" s="188">
        <v>0</v>
      </c>
      <c r="H686"/>
      <c r="I686"/>
    </row>
    <row r="687" spans="1:9" ht="15">
      <c r="A687" s="186" t="s">
        <v>1685</v>
      </c>
      <c r="B687" s="188">
        <v>0</v>
      </c>
      <c r="C687" s="188">
        <v>0</v>
      </c>
      <c r="D687" s="188">
        <v>427.5</v>
      </c>
      <c r="E687" s="188">
        <v>427.5</v>
      </c>
      <c r="F687" s="188">
        <v>0</v>
      </c>
      <c r="G687" s="188">
        <v>0</v>
      </c>
      <c r="H687"/>
      <c r="I687"/>
    </row>
    <row r="688" spans="1:9" ht="15">
      <c r="A688" s="186" t="s">
        <v>1686</v>
      </c>
      <c r="B688" s="188">
        <v>0</v>
      </c>
      <c r="C688" s="188">
        <v>0</v>
      </c>
      <c r="D688" s="188">
        <v>280</v>
      </c>
      <c r="E688" s="188">
        <v>280</v>
      </c>
      <c r="F688" s="188">
        <v>0</v>
      </c>
      <c r="G688" s="188">
        <v>0</v>
      </c>
      <c r="H688"/>
      <c r="I688"/>
    </row>
    <row r="689" spans="1:9" ht="15">
      <c r="A689" s="186" t="s">
        <v>1687</v>
      </c>
      <c r="B689" s="188">
        <v>0</v>
      </c>
      <c r="C689" s="188">
        <v>0</v>
      </c>
      <c r="D689" s="188">
        <v>122.8</v>
      </c>
      <c r="E689" s="188">
        <v>122.8</v>
      </c>
      <c r="F689" s="188">
        <v>0</v>
      </c>
      <c r="G689" s="188">
        <v>0</v>
      </c>
      <c r="H689"/>
      <c r="I689"/>
    </row>
    <row r="690" spans="1:9" ht="105">
      <c r="A690" s="186" t="s">
        <v>1688</v>
      </c>
      <c r="B690" s="188">
        <v>1500</v>
      </c>
      <c r="C690" s="188">
        <v>0</v>
      </c>
      <c r="D690" s="188">
        <v>1750</v>
      </c>
      <c r="E690" s="188">
        <v>1500</v>
      </c>
      <c r="F690" s="188">
        <v>1750</v>
      </c>
      <c r="G690" s="188">
        <v>0</v>
      </c>
      <c r="H690" s="226" t="s">
        <v>2164</v>
      </c>
      <c r="I690" s="226" t="s">
        <v>2406</v>
      </c>
    </row>
    <row r="691" spans="1:9" ht="105">
      <c r="A691" s="186" t="s">
        <v>1689</v>
      </c>
      <c r="B691" s="188">
        <v>0</v>
      </c>
      <c r="C691" s="188">
        <v>0</v>
      </c>
      <c r="D691" s="188">
        <v>6420</v>
      </c>
      <c r="E691" s="188">
        <v>3210</v>
      </c>
      <c r="F691" s="197">
        <v>3210</v>
      </c>
      <c r="G691" s="188">
        <v>0</v>
      </c>
      <c r="H691" s="226" t="s">
        <v>2164</v>
      </c>
      <c r="I691" s="226" t="s">
        <v>2406</v>
      </c>
    </row>
    <row r="692" spans="1:9" ht="105">
      <c r="A692" s="186" t="s">
        <v>1690</v>
      </c>
      <c r="B692" s="188">
        <v>3531</v>
      </c>
      <c r="C692" s="188">
        <v>0</v>
      </c>
      <c r="D692" s="188">
        <v>2530</v>
      </c>
      <c r="E692" s="188">
        <v>0</v>
      </c>
      <c r="F692" s="188">
        <v>6061</v>
      </c>
      <c r="G692" s="188">
        <v>0</v>
      </c>
      <c r="H692" s="226" t="s">
        <v>2164</v>
      </c>
      <c r="I692" s="226" t="s">
        <v>2406</v>
      </c>
    </row>
    <row r="693" spans="1:9" ht="15">
      <c r="A693" s="186" t="s">
        <v>1691</v>
      </c>
      <c r="B693" s="188">
        <v>0</v>
      </c>
      <c r="C693" s="188">
        <v>0</v>
      </c>
      <c r="D693" s="188">
        <v>24874.337749999999</v>
      </c>
      <c r="E693" s="188">
        <v>24874.337749999999</v>
      </c>
      <c r="F693" s="188">
        <v>0</v>
      </c>
      <c r="G693" s="188">
        <v>0</v>
      </c>
      <c r="H693"/>
      <c r="I693"/>
    </row>
    <row r="694" spans="1:9" ht="15">
      <c r="A694" s="186" t="s">
        <v>1692</v>
      </c>
      <c r="B694" s="188">
        <v>0</v>
      </c>
      <c r="C694" s="188">
        <v>0</v>
      </c>
      <c r="D694" s="188">
        <v>2232.0728199999999</v>
      </c>
      <c r="E694" s="188">
        <v>2232.0728199999999</v>
      </c>
      <c r="F694" s="188">
        <v>0</v>
      </c>
      <c r="G694" s="188">
        <v>0</v>
      </c>
      <c r="H694"/>
      <c r="I694"/>
    </row>
    <row r="695" spans="1:9" ht="15">
      <c r="A695" s="186" t="s">
        <v>1693</v>
      </c>
      <c r="B695" s="188">
        <v>0</v>
      </c>
      <c r="C695" s="188">
        <v>0</v>
      </c>
      <c r="D695" s="188">
        <v>1007.9185</v>
      </c>
      <c r="E695" s="188">
        <v>1007.9185</v>
      </c>
      <c r="F695" s="188">
        <v>0</v>
      </c>
      <c r="G695" s="188">
        <v>0</v>
      </c>
      <c r="H695"/>
      <c r="I695"/>
    </row>
    <row r="696" spans="1:9" ht="15">
      <c r="A696" s="186" t="s">
        <v>1694</v>
      </c>
      <c r="B696" s="188">
        <v>60.258029999999998</v>
      </c>
      <c r="C696" s="188">
        <v>0</v>
      </c>
      <c r="D696" s="188">
        <v>0</v>
      </c>
      <c r="E696" s="188">
        <v>0</v>
      </c>
      <c r="F696" s="188">
        <v>60.258029999999998</v>
      </c>
      <c r="G696" s="188">
        <v>0</v>
      </c>
      <c r="H696" s="226" t="s">
        <v>2288</v>
      </c>
      <c r="I696" t="s">
        <v>2407</v>
      </c>
    </row>
    <row r="697" spans="1:9" ht="15">
      <c r="A697" s="186" t="s">
        <v>1695</v>
      </c>
      <c r="B697" s="188">
        <v>0</v>
      </c>
      <c r="C697" s="188">
        <v>0</v>
      </c>
      <c r="D697" s="188">
        <v>7.13</v>
      </c>
      <c r="E697" s="188">
        <v>7.13</v>
      </c>
      <c r="F697" s="188">
        <v>0</v>
      </c>
      <c r="G697" s="188">
        <v>0</v>
      </c>
      <c r="H697"/>
      <c r="I697"/>
    </row>
    <row r="698" spans="1:9" ht="30">
      <c r="A698" s="186" t="s">
        <v>1696</v>
      </c>
      <c r="B698" s="188">
        <v>15689.275</v>
      </c>
      <c r="C698" s="188">
        <v>0</v>
      </c>
      <c r="D698" s="188">
        <v>17423.331050000001</v>
      </c>
      <c r="E698" s="188">
        <v>14323.331050000001</v>
      </c>
      <c r="F698" s="188">
        <v>18789.275000000001</v>
      </c>
      <c r="G698" s="188">
        <v>0</v>
      </c>
      <c r="H698" s="226" t="s">
        <v>2408</v>
      </c>
      <c r="I698" t="s">
        <v>2409</v>
      </c>
    </row>
    <row r="699" spans="1:9" ht="15">
      <c r="A699" s="186" t="s">
        <v>1697</v>
      </c>
      <c r="B699" s="188">
        <v>0</v>
      </c>
      <c r="C699" s="188">
        <v>0</v>
      </c>
      <c r="D699" s="188">
        <v>415</v>
      </c>
      <c r="E699" s="188">
        <v>415</v>
      </c>
      <c r="F699" s="188">
        <v>0</v>
      </c>
      <c r="G699" s="188">
        <v>0</v>
      </c>
      <c r="H699"/>
      <c r="I699"/>
    </row>
    <row r="700" spans="1:9" ht="15">
      <c r="A700" s="186" t="s">
        <v>1698</v>
      </c>
      <c r="B700" s="188">
        <v>0</v>
      </c>
      <c r="C700" s="188">
        <v>0</v>
      </c>
      <c r="D700" s="188">
        <v>429.40540999999996</v>
      </c>
      <c r="E700" s="188">
        <v>429.34540999999996</v>
      </c>
      <c r="F700" s="188">
        <v>0.06</v>
      </c>
      <c r="G700" s="188">
        <v>0</v>
      </c>
      <c r="H700" t="s">
        <v>2410</v>
      </c>
      <c r="I700"/>
    </row>
    <row r="701" spans="1:9" ht="15">
      <c r="A701" s="186" t="s">
        <v>1699</v>
      </c>
      <c r="B701" s="188">
        <v>0</v>
      </c>
      <c r="C701" s="188">
        <v>0</v>
      </c>
      <c r="D701" s="188">
        <v>11.448</v>
      </c>
      <c r="E701" s="188">
        <v>11.448</v>
      </c>
      <c r="F701" s="188">
        <v>0</v>
      </c>
      <c r="G701" s="188">
        <v>0</v>
      </c>
      <c r="H701"/>
      <c r="I701"/>
    </row>
    <row r="702" spans="1:9" ht="15">
      <c r="A702" s="186" t="s">
        <v>1700</v>
      </c>
      <c r="B702" s="188">
        <v>0</v>
      </c>
      <c r="C702" s="188">
        <v>0</v>
      </c>
      <c r="D702" s="188">
        <v>678.7</v>
      </c>
      <c r="E702" s="188">
        <v>678.7</v>
      </c>
      <c r="F702" s="188">
        <v>0</v>
      </c>
      <c r="G702" s="188">
        <v>0</v>
      </c>
      <c r="H702"/>
      <c r="I702"/>
    </row>
    <row r="703" spans="1:9" ht="15">
      <c r="A703" s="186" t="s">
        <v>1701</v>
      </c>
      <c r="B703" s="188">
        <v>224.45</v>
      </c>
      <c r="C703" s="188">
        <v>0</v>
      </c>
      <c r="D703" s="188">
        <v>0</v>
      </c>
      <c r="E703" s="188">
        <v>0</v>
      </c>
      <c r="F703" s="188">
        <v>224.45</v>
      </c>
      <c r="G703" s="188">
        <v>0</v>
      </c>
      <c r="H703" s="226" t="s">
        <v>2288</v>
      </c>
      <c r="I703" t="s">
        <v>2377</v>
      </c>
    </row>
    <row r="704" spans="1:9" ht="15">
      <c r="A704" s="186" t="s">
        <v>1702</v>
      </c>
      <c r="B704" s="188">
        <v>0</v>
      </c>
      <c r="C704" s="188">
        <v>0</v>
      </c>
      <c r="D704" s="188">
        <v>1289.5</v>
      </c>
      <c r="E704" s="188">
        <v>1289.5</v>
      </c>
      <c r="F704" s="188">
        <v>0</v>
      </c>
      <c r="G704" s="188">
        <v>0</v>
      </c>
      <c r="H704"/>
      <c r="I704"/>
    </row>
    <row r="705" spans="1:9" ht="105">
      <c r="A705" s="186" t="s">
        <v>1703</v>
      </c>
      <c r="B705" s="188">
        <v>0</v>
      </c>
      <c r="C705" s="188">
        <v>0</v>
      </c>
      <c r="D705" s="188">
        <v>20000</v>
      </c>
      <c r="E705" s="188">
        <v>0</v>
      </c>
      <c r="F705" s="197">
        <v>20000</v>
      </c>
      <c r="G705" s="188">
        <v>0</v>
      </c>
      <c r="H705" s="226" t="s">
        <v>2285</v>
      </c>
      <c r="I705"/>
    </row>
    <row r="706" spans="1:9" ht="135">
      <c r="A706" s="186" t="s">
        <v>1704</v>
      </c>
      <c r="B706" s="188">
        <v>0</v>
      </c>
      <c r="C706" s="188">
        <v>0</v>
      </c>
      <c r="D706" s="188">
        <v>1000.55312</v>
      </c>
      <c r="E706" s="188">
        <v>0</v>
      </c>
      <c r="F706" s="197">
        <v>1000.55312</v>
      </c>
      <c r="G706" s="188">
        <v>0</v>
      </c>
      <c r="H706" s="226" t="s">
        <v>2411</v>
      </c>
      <c r="I706"/>
    </row>
    <row r="707" spans="1:9" ht="15">
      <c r="A707" s="186" t="s">
        <v>1705</v>
      </c>
      <c r="B707" s="188">
        <v>0</v>
      </c>
      <c r="C707" s="188">
        <v>0</v>
      </c>
      <c r="D707" s="188">
        <v>2133.19</v>
      </c>
      <c r="E707" s="188">
        <v>1855.59</v>
      </c>
      <c r="F707" s="188">
        <v>277.60000000000002</v>
      </c>
      <c r="G707" s="188">
        <v>0</v>
      </c>
      <c r="H707" s="226" t="s">
        <v>2288</v>
      </c>
      <c r="I707" t="s">
        <v>2412</v>
      </c>
    </row>
    <row r="708" spans="1:9" ht="15">
      <c r="A708" s="186" t="s">
        <v>1706</v>
      </c>
      <c r="B708" s="188">
        <v>0</v>
      </c>
      <c r="C708" s="188">
        <v>0</v>
      </c>
      <c r="D708" s="188">
        <v>532</v>
      </c>
      <c r="E708" s="188">
        <v>532</v>
      </c>
      <c r="F708" s="188">
        <v>0</v>
      </c>
      <c r="G708" s="188">
        <v>0</v>
      </c>
      <c r="H708"/>
      <c r="I708"/>
    </row>
    <row r="709" spans="1:9" ht="15">
      <c r="A709" s="186" t="s">
        <v>1707</v>
      </c>
      <c r="B709" s="188">
        <v>1596.3590099999999</v>
      </c>
      <c r="C709" s="188">
        <v>0</v>
      </c>
      <c r="D709" s="188">
        <v>1784.6210000000001</v>
      </c>
      <c r="E709" s="188">
        <v>2279.10907</v>
      </c>
      <c r="F709" s="188">
        <v>1101.87094</v>
      </c>
      <c r="G709" s="188">
        <v>0</v>
      </c>
      <c r="H709" s="226" t="s">
        <v>2288</v>
      </c>
      <c r="I709" t="s">
        <v>2377</v>
      </c>
    </row>
    <row r="710" spans="1:9" ht="105">
      <c r="A710" s="186" t="s">
        <v>1708</v>
      </c>
      <c r="B710" s="188">
        <v>0</v>
      </c>
      <c r="C710" s="188">
        <v>0</v>
      </c>
      <c r="D710" s="188">
        <v>9804.0740000000005</v>
      </c>
      <c r="E710" s="188">
        <v>8613.0740000000005</v>
      </c>
      <c r="F710" s="197">
        <v>1191</v>
      </c>
      <c r="G710" s="188">
        <v>0</v>
      </c>
      <c r="H710" s="226" t="s">
        <v>2413</v>
      </c>
      <c r="I710"/>
    </row>
    <row r="711" spans="1:9" ht="15">
      <c r="A711" s="186" t="s">
        <v>1709</v>
      </c>
      <c r="B711" s="188">
        <v>0</v>
      </c>
      <c r="C711" s="188">
        <v>0</v>
      </c>
      <c r="D711" s="188">
        <v>618.77700000000004</v>
      </c>
      <c r="E711" s="188">
        <v>618.77700000000004</v>
      </c>
      <c r="F711" s="188">
        <v>0</v>
      </c>
      <c r="G711" s="188">
        <v>0</v>
      </c>
      <c r="H711"/>
      <c r="I711"/>
    </row>
    <row r="712" spans="1:9" ht="15">
      <c r="A712" s="186" t="s">
        <v>1710</v>
      </c>
      <c r="B712" s="188">
        <v>0</v>
      </c>
      <c r="C712" s="188">
        <v>0</v>
      </c>
      <c r="D712" s="188">
        <v>436.54</v>
      </c>
      <c r="E712" s="188">
        <v>436.54</v>
      </c>
      <c r="F712" s="188">
        <v>0</v>
      </c>
      <c r="G712" s="188">
        <v>0</v>
      </c>
      <c r="H712"/>
      <c r="I712"/>
    </row>
    <row r="713" spans="1:9" ht="15">
      <c r="A713" s="186" t="s">
        <v>1711</v>
      </c>
      <c r="B713" s="188">
        <v>0</v>
      </c>
      <c r="C713" s="188">
        <v>0</v>
      </c>
      <c r="D713" s="188">
        <v>70</v>
      </c>
      <c r="E713" s="188">
        <v>70</v>
      </c>
      <c r="F713" s="188">
        <v>0</v>
      </c>
      <c r="G713" s="188">
        <v>0</v>
      </c>
      <c r="H713"/>
      <c r="I713"/>
    </row>
    <row r="714" spans="1:9" ht="15">
      <c r="A714" s="186" t="s">
        <v>1712</v>
      </c>
      <c r="B714" s="188">
        <v>468</v>
      </c>
      <c r="C714" s="188">
        <v>0</v>
      </c>
      <c r="D714" s="188">
        <v>0</v>
      </c>
      <c r="E714" s="188">
        <v>143.6</v>
      </c>
      <c r="F714" s="188">
        <v>324.39999999999998</v>
      </c>
      <c r="G714" s="188">
        <v>0</v>
      </c>
      <c r="H714" s="226" t="s">
        <v>2288</v>
      </c>
      <c r="I714" t="s">
        <v>2377</v>
      </c>
    </row>
    <row r="715" spans="1:9" ht="15">
      <c r="A715" s="186" t="s">
        <v>1713</v>
      </c>
      <c r="B715" s="188">
        <v>0</v>
      </c>
      <c r="C715" s="188">
        <v>0</v>
      </c>
      <c r="D715" s="188">
        <v>46.5</v>
      </c>
      <c r="E715" s="188">
        <v>46.5</v>
      </c>
      <c r="F715" s="188">
        <v>0</v>
      </c>
      <c r="G715" s="188">
        <v>0</v>
      </c>
      <c r="H715"/>
      <c r="I715"/>
    </row>
    <row r="716" spans="1:9" ht="15">
      <c r="A716" s="186" t="s">
        <v>1714</v>
      </c>
      <c r="B716" s="188">
        <v>344.56</v>
      </c>
      <c r="C716" s="188">
        <v>0</v>
      </c>
      <c r="D716" s="188">
        <v>0</v>
      </c>
      <c r="E716" s="188">
        <v>344.56</v>
      </c>
      <c r="F716" s="188">
        <v>0</v>
      </c>
      <c r="G716" s="188">
        <v>0</v>
      </c>
      <c r="H716"/>
      <c r="I716"/>
    </row>
    <row r="717" spans="1:9" ht="15">
      <c r="A717" s="186" t="s">
        <v>1715</v>
      </c>
      <c r="B717" s="188">
        <v>0</v>
      </c>
      <c r="C717" s="188">
        <v>0</v>
      </c>
      <c r="D717" s="188">
        <v>135.80000000000001</v>
      </c>
      <c r="E717" s="188">
        <v>135.80000000000001</v>
      </c>
      <c r="F717" s="188">
        <v>0</v>
      </c>
      <c r="G717" s="188">
        <v>0</v>
      </c>
      <c r="H717"/>
      <c r="I717"/>
    </row>
    <row r="718" spans="1:9" ht="15">
      <c r="A718" s="186" t="s">
        <v>1716</v>
      </c>
      <c r="B718" s="188">
        <v>0</v>
      </c>
      <c r="C718" s="188">
        <v>0</v>
      </c>
      <c r="D718" s="188">
        <v>173.83</v>
      </c>
      <c r="E718" s="188">
        <v>173.83</v>
      </c>
      <c r="F718" s="188">
        <v>0</v>
      </c>
      <c r="G718" s="188">
        <v>0</v>
      </c>
      <c r="H718"/>
      <c r="I718"/>
    </row>
    <row r="719" spans="1:9" ht="15">
      <c r="A719" s="186" t="s">
        <v>1717</v>
      </c>
      <c r="B719" s="188">
        <v>20</v>
      </c>
      <c r="C719" s="188">
        <v>0</v>
      </c>
      <c r="D719" s="188">
        <v>225.6</v>
      </c>
      <c r="E719" s="188">
        <v>225.6</v>
      </c>
      <c r="F719" s="188">
        <v>20</v>
      </c>
      <c r="G719" s="188">
        <v>0</v>
      </c>
      <c r="H719" s="226" t="s">
        <v>2164</v>
      </c>
      <c r="I719" t="s">
        <v>2398</v>
      </c>
    </row>
    <row r="720" spans="1:9" ht="15">
      <c r="A720" s="186" t="s">
        <v>1718</v>
      </c>
      <c r="B720" s="188">
        <v>0</v>
      </c>
      <c r="C720" s="188">
        <v>0</v>
      </c>
      <c r="D720" s="188">
        <v>332.64</v>
      </c>
      <c r="E720" s="188">
        <v>332.64</v>
      </c>
      <c r="F720" s="188">
        <v>0</v>
      </c>
      <c r="G720" s="188">
        <v>0</v>
      </c>
      <c r="H720"/>
      <c r="I720"/>
    </row>
    <row r="721" spans="1:9" ht="15">
      <c r="A721" s="186" t="s">
        <v>1719</v>
      </c>
      <c r="B721" s="188">
        <v>0</v>
      </c>
      <c r="C721" s="188">
        <v>0</v>
      </c>
      <c r="D721" s="188">
        <v>16376.267</v>
      </c>
      <c r="E721" s="188">
        <v>16376.267</v>
      </c>
      <c r="F721" s="188">
        <v>0</v>
      </c>
      <c r="G721" s="188">
        <v>0</v>
      </c>
      <c r="H721"/>
      <c r="I721"/>
    </row>
    <row r="722" spans="1:9" ht="15">
      <c r="A722" s="186" t="s">
        <v>1720</v>
      </c>
      <c r="B722" s="188">
        <v>0</v>
      </c>
      <c r="C722" s="188">
        <v>0</v>
      </c>
      <c r="D722" s="188">
        <v>192.29</v>
      </c>
      <c r="E722" s="188">
        <v>132.38910000000001</v>
      </c>
      <c r="F722" s="188">
        <v>59.9009</v>
      </c>
      <c r="G722" s="188">
        <v>0</v>
      </c>
      <c r="H722" s="226" t="s">
        <v>2288</v>
      </c>
      <c r="I722" t="s">
        <v>2414</v>
      </c>
    </row>
    <row r="723" spans="1:9" ht="15">
      <c r="A723" s="186" t="s">
        <v>1721</v>
      </c>
      <c r="B723" s="188">
        <v>0</v>
      </c>
      <c r="C723" s="188">
        <v>0</v>
      </c>
      <c r="D723" s="188">
        <v>360</v>
      </c>
      <c r="E723" s="188">
        <v>360</v>
      </c>
      <c r="F723" s="188">
        <v>0</v>
      </c>
      <c r="G723" s="188">
        <v>0</v>
      </c>
      <c r="H723"/>
      <c r="I723"/>
    </row>
    <row r="724" spans="1:9" ht="15">
      <c r="A724" s="186" t="s">
        <v>1722</v>
      </c>
      <c r="B724" s="188">
        <v>0</v>
      </c>
      <c r="C724" s="188">
        <v>0</v>
      </c>
      <c r="D724" s="188">
        <v>119714.69</v>
      </c>
      <c r="E724" s="188">
        <v>119714.69</v>
      </c>
      <c r="F724" s="188">
        <v>0</v>
      </c>
      <c r="G724" s="188">
        <v>0</v>
      </c>
      <c r="H724"/>
      <c r="I724"/>
    </row>
    <row r="725" spans="1:9" ht="15">
      <c r="A725" s="186" t="s">
        <v>1723</v>
      </c>
      <c r="B725" s="188">
        <v>0</v>
      </c>
      <c r="C725" s="188">
        <v>0</v>
      </c>
      <c r="D725" s="188">
        <v>11097.44</v>
      </c>
      <c r="E725" s="188">
        <v>11097.44</v>
      </c>
      <c r="F725" s="188">
        <v>0</v>
      </c>
      <c r="G725" s="188">
        <v>0</v>
      </c>
      <c r="H725"/>
      <c r="I725"/>
    </row>
    <row r="726" spans="1:9" ht="15">
      <c r="A726" s="186" t="s">
        <v>1724</v>
      </c>
      <c r="B726" s="188">
        <v>31.71</v>
      </c>
      <c r="C726" s="188">
        <v>0</v>
      </c>
      <c r="D726" s="188">
        <v>12883.69154</v>
      </c>
      <c r="E726" s="188">
        <v>12790.69154</v>
      </c>
      <c r="F726" s="188">
        <v>124.71</v>
      </c>
      <c r="G726" s="188">
        <v>0</v>
      </c>
      <c r="H726" s="226" t="s">
        <v>2164</v>
      </c>
      <c r="I726" t="s">
        <v>2415</v>
      </c>
    </row>
    <row r="727" spans="1:9" ht="15">
      <c r="A727" s="186" t="s">
        <v>1725</v>
      </c>
      <c r="B727" s="188">
        <v>0</v>
      </c>
      <c r="C727" s="188">
        <v>0</v>
      </c>
      <c r="D727" s="188">
        <v>130</v>
      </c>
      <c r="E727" s="188">
        <v>130</v>
      </c>
      <c r="F727" s="188">
        <v>0</v>
      </c>
      <c r="G727" s="188">
        <v>0</v>
      </c>
      <c r="H727"/>
      <c r="I727"/>
    </row>
    <row r="728" spans="1:9" ht="15">
      <c r="A728" s="186" t="s">
        <v>1038</v>
      </c>
      <c r="B728" s="188">
        <v>0</v>
      </c>
      <c r="C728" s="188">
        <v>0</v>
      </c>
      <c r="D728" s="188">
        <v>1017.4</v>
      </c>
      <c r="E728" s="188">
        <v>1017.4</v>
      </c>
      <c r="F728" s="188">
        <v>0</v>
      </c>
      <c r="G728" s="188">
        <v>0</v>
      </c>
      <c r="H728"/>
      <c r="I728"/>
    </row>
    <row r="729" spans="1:9" ht="15">
      <c r="A729" s="186" t="s">
        <v>1726</v>
      </c>
      <c r="B729" s="188">
        <v>0</v>
      </c>
      <c r="C729" s="188">
        <v>0</v>
      </c>
      <c r="D729" s="188">
        <v>414</v>
      </c>
      <c r="E729" s="188">
        <v>414</v>
      </c>
      <c r="F729" s="188">
        <v>0</v>
      </c>
      <c r="G729" s="188">
        <v>0</v>
      </c>
      <c r="H729"/>
      <c r="I729"/>
    </row>
    <row r="730" spans="1:9" ht="15">
      <c r="A730" s="186" t="s">
        <v>1727</v>
      </c>
      <c r="B730" s="188">
        <v>0</v>
      </c>
      <c r="C730" s="188">
        <v>0</v>
      </c>
      <c r="D730" s="188">
        <v>39180.60454</v>
      </c>
      <c r="E730" s="188">
        <v>39180.60454</v>
      </c>
      <c r="F730" s="188">
        <v>0</v>
      </c>
      <c r="G730" s="188">
        <v>0</v>
      </c>
      <c r="H730"/>
      <c r="I730"/>
    </row>
    <row r="731" spans="1:9" ht="15">
      <c r="A731" s="186" t="s">
        <v>1728</v>
      </c>
      <c r="B731" s="188">
        <v>17</v>
      </c>
      <c r="C731" s="188">
        <v>0</v>
      </c>
      <c r="D731" s="188">
        <v>45</v>
      </c>
      <c r="E731" s="188">
        <v>45</v>
      </c>
      <c r="F731" s="188">
        <v>17</v>
      </c>
      <c r="G731" s="188">
        <v>0</v>
      </c>
      <c r="H731" s="226" t="s">
        <v>2288</v>
      </c>
      <c r="I731" t="s">
        <v>2324</v>
      </c>
    </row>
    <row r="732" spans="1:9" ht="15">
      <c r="A732" s="186" t="s">
        <v>1729</v>
      </c>
      <c r="B732" s="188">
        <v>405.4</v>
      </c>
      <c r="C732" s="188">
        <v>0</v>
      </c>
      <c r="D732" s="188">
        <v>0</v>
      </c>
      <c r="E732" s="188">
        <v>0</v>
      </c>
      <c r="F732" s="188">
        <v>405.4</v>
      </c>
      <c r="G732" s="188">
        <v>0</v>
      </c>
      <c r="H732" s="226" t="s">
        <v>2288</v>
      </c>
      <c r="I732" t="s">
        <v>2324</v>
      </c>
    </row>
    <row r="733" spans="1:9" ht="15">
      <c r="A733" s="186" t="s">
        <v>1730</v>
      </c>
      <c r="B733" s="188">
        <v>20.498939999999997</v>
      </c>
      <c r="C733" s="188">
        <v>0</v>
      </c>
      <c r="D733" s="188">
        <v>0</v>
      </c>
      <c r="E733" s="188">
        <v>20.498939999999997</v>
      </c>
      <c r="F733" s="188">
        <v>0</v>
      </c>
      <c r="G733" s="188">
        <v>0</v>
      </c>
      <c r="H733"/>
      <c r="I733"/>
    </row>
    <row r="734" spans="1:9" ht="15">
      <c r="A734" s="186" t="s">
        <v>1731</v>
      </c>
      <c r="B734" s="188">
        <v>0</v>
      </c>
      <c r="C734" s="188">
        <v>0</v>
      </c>
      <c r="D734" s="188">
        <v>26.55</v>
      </c>
      <c r="E734" s="188">
        <v>26.55</v>
      </c>
      <c r="F734" s="188">
        <v>0</v>
      </c>
      <c r="G734" s="188">
        <v>0</v>
      </c>
      <c r="H734"/>
      <c r="I734"/>
    </row>
    <row r="735" spans="1:9" ht="15">
      <c r="A735" s="186" t="s">
        <v>1732</v>
      </c>
      <c r="B735" s="188">
        <v>0</v>
      </c>
      <c r="C735" s="188">
        <v>0</v>
      </c>
      <c r="D735" s="188">
        <v>131849.81456</v>
      </c>
      <c r="E735" s="188">
        <v>131849.81456</v>
      </c>
      <c r="F735" s="188">
        <v>0</v>
      </c>
      <c r="G735" s="188">
        <v>0</v>
      </c>
      <c r="H735"/>
      <c r="I735"/>
    </row>
    <row r="736" spans="1:9" ht="15">
      <c r="A736" s="186" t="s">
        <v>1733</v>
      </c>
      <c r="B736" s="188">
        <v>1.4999999999999999E-4</v>
      </c>
      <c r="C736" s="188">
        <v>0</v>
      </c>
      <c r="D736" s="188">
        <v>35882.065049999997</v>
      </c>
      <c r="E736" s="188">
        <v>35882.065200000005</v>
      </c>
      <c r="F736" s="188">
        <v>0</v>
      </c>
      <c r="G736" s="188">
        <v>0</v>
      </c>
      <c r="H736"/>
      <c r="I736"/>
    </row>
    <row r="737" spans="1:9" ht="15">
      <c r="A737" s="186" t="s">
        <v>1734</v>
      </c>
      <c r="B737" s="188">
        <v>4059.6590200000001</v>
      </c>
      <c r="C737" s="188">
        <v>0</v>
      </c>
      <c r="D737" s="188">
        <v>78073.659339999998</v>
      </c>
      <c r="E737" s="188">
        <v>75179.05343</v>
      </c>
      <c r="F737" s="188">
        <v>6954.2649299999994</v>
      </c>
      <c r="G737" s="188">
        <v>0</v>
      </c>
      <c r="H737" t="s">
        <v>2416</v>
      </c>
      <c r="I737"/>
    </row>
    <row r="738" spans="1:9" ht="15">
      <c r="A738" s="186" t="s">
        <v>1735</v>
      </c>
      <c r="B738" s="188">
        <v>240</v>
      </c>
      <c r="C738" s="188">
        <v>0</v>
      </c>
      <c r="D738" s="188">
        <v>1600</v>
      </c>
      <c r="E738" s="188">
        <v>1600</v>
      </c>
      <c r="F738" s="188">
        <v>240</v>
      </c>
      <c r="G738" s="188">
        <v>0</v>
      </c>
      <c r="H738" t="s">
        <v>2290</v>
      </c>
      <c r="I738"/>
    </row>
    <row r="739" spans="1:9" ht="15">
      <c r="A739" s="186" t="s">
        <v>1736</v>
      </c>
      <c r="B739" s="188">
        <v>0</v>
      </c>
      <c r="C739" s="188">
        <v>0</v>
      </c>
      <c r="D739" s="188">
        <v>5142.6030000000001</v>
      </c>
      <c r="E739" s="188">
        <v>5142.6030000000001</v>
      </c>
      <c r="F739" s="188">
        <v>0</v>
      </c>
      <c r="G739" s="188">
        <v>0</v>
      </c>
      <c r="H739"/>
      <c r="I739"/>
    </row>
    <row r="740" spans="1:9" ht="15">
      <c r="A740" s="186" t="s">
        <v>1737</v>
      </c>
      <c r="B740" s="188">
        <v>0</v>
      </c>
      <c r="C740" s="188">
        <v>0</v>
      </c>
      <c r="D740" s="188">
        <v>952.85599000000002</v>
      </c>
      <c r="E740" s="188">
        <v>952.85599000000002</v>
      </c>
      <c r="F740" s="188">
        <v>0</v>
      </c>
      <c r="G740" s="188">
        <v>0</v>
      </c>
      <c r="H740"/>
      <c r="I740"/>
    </row>
    <row r="741" spans="1:9" ht="15">
      <c r="A741" s="186" t="s">
        <v>1738</v>
      </c>
      <c r="B741" s="188">
        <v>0</v>
      </c>
      <c r="C741" s="188">
        <v>0</v>
      </c>
      <c r="D741" s="188">
        <v>30</v>
      </c>
      <c r="E741" s="188">
        <v>30</v>
      </c>
      <c r="F741" s="188">
        <v>0</v>
      </c>
      <c r="G741" s="188">
        <v>0</v>
      </c>
      <c r="H741"/>
      <c r="I741"/>
    </row>
    <row r="742" spans="1:9" ht="15">
      <c r="A742" s="186" t="s">
        <v>1739</v>
      </c>
      <c r="B742" s="188">
        <v>0</v>
      </c>
      <c r="C742" s="188">
        <v>0</v>
      </c>
      <c r="D742" s="188">
        <v>1828.335</v>
      </c>
      <c r="E742" s="188">
        <v>1828.335</v>
      </c>
      <c r="F742" s="188">
        <v>0</v>
      </c>
      <c r="G742" s="188">
        <v>0</v>
      </c>
      <c r="H742"/>
      <c r="I742"/>
    </row>
    <row r="743" spans="1:9" ht="15">
      <c r="A743" s="186" t="s">
        <v>1049</v>
      </c>
      <c r="B743" s="188">
        <v>0</v>
      </c>
      <c r="C743" s="188">
        <v>0</v>
      </c>
      <c r="D743" s="188">
        <v>41.4</v>
      </c>
      <c r="E743" s="188">
        <v>41.4</v>
      </c>
      <c r="F743" s="188">
        <v>0</v>
      </c>
      <c r="G743" s="188">
        <v>0</v>
      </c>
      <c r="H743"/>
      <c r="I743"/>
    </row>
    <row r="744" spans="1:9" ht="15">
      <c r="A744" s="186" t="s">
        <v>1740</v>
      </c>
      <c r="B744" s="188">
        <v>0</v>
      </c>
      <c r="C744" s="188">
        <v>0</v>
      </c>
      <c r="D744" s="188">
        <v>1524</v>
      </c>
      <c r="E744" s="188">
        <v>1524</v>
      </c>
      <c r="F744" s="188">
        <v>0</v>
      </c>
      <c r="G744" s="188">
        <v>0</v>
      </c>
      <c r="H744"/>
      <c r="I744"/>
    </row>
    <row r="745" spans="1:9" ht="15">
      <c r="A745" s="186" t="s">
        <v>1741</v>
      </c>
      <c r="B745" s="188">
        <v>5.0000000000000001E-4</v>
      </c>
      <c r="C745" s="188">
        <v>0</v>
      </c>
      <c r="D745" s="188">
        <v>0</v>
      </c>
      <c r="E745" s="188">
        <v>5.0000000000000001E-4</v>
      </c>
      <c r="F745" s="188">
        <v>0</v>
      </c>
      <c r="G745" s="188">
        <v>0</v>
      </c>
      <c r="H745"/>
      <c r="I745"/>
    </row>
    <row r="746" spans="1:9" ht="15">
      <c r="A746" s="186" t="s">
        <v>1742</v>
      </c>
      <c r="B746" s="188">
        <v>0</v>
      </c>
      <c r="C746" s="188">
        <v>0</v>
      </c>
      <c r="D746" s="188">
        <v>45</v>
      </c>
      <c r="E746" s="188">
        <v>45</v>
      </c>
      <c r="F746" s="188">
        <v>0</v>
      </c>
      <c r="G746" s="188">
        <v>0</v>
      </c>
      <c r="H746"/>
      <c r="I746"/>
    </row>
    <row r="747" spans="1:9" ht="15">
      <c r="A747" s="186" t="s">
        <v>1743</v>
      </c>
      <c r="B747" s="188">
        <v>0</v>
      </c>
      <c r="C747" s="188">
        <v>0</v>
      </c>
      <c r="D747" s="188">
        <v>1.98</v>
      </c>
      <c r="E747" s="188">
        <v>1.98</v>
      </c>
      <c r="F747" s="188">
        <v>0</v>
      </c>
      <c r="G747" s="188">
        <v>0</v>
      </c>
      <c r="H747"/>
      <c r="I747"/>
    </row>
    <row r="748" spans="1:9" ht="15">
      <c r="A748" s="186" t="s">
        <v>1744</v>
      </c>
      <c r="B748" s="188">
        <v>23.234400000000001</v>
      </c>
      <c r="C748" s="188">
        <v>0</v>
      </c>
      <c r="D748" s="188">
        <v>3.7818200000000002</v>
      </c>
      <c r="E748" s="188">
        <v>27.016220000000001</v>
      </c>
      <c r="F748" s="188">
        <v>0</v>
      </c>
      <c r="G748" s="188">
        <v>0</v>
      </c>
      <c r="H748"/>
      <c r="I748"/>
    </row>
    <row r="749" spans="1:9" ht="15">
      <c r="A749" s="186" t="s">
        <v>1745</v>
      </c>
      <c r="B749" s="188">
        <v>0</v>
      </c>
      <c r="C749" s="188">
        <v>0</v>
      </c>
      <c r="D749" s="188">
        <v>162.428</v>
      </c>
      <c r="E749" s="188">
        <v>162.428</v>
      </c>
      <c r="F749" s="188">
        <v>0</v>
      </c>
      <c r="G749" s="188">
        <v>0</v>
      </c>
      <c r="H749"/>
      <c r="I749"/>
    </row>
    <row r="750" spans="1:9" ht="15">
      <c r="A750" s="186" t="s">
        <v>1746</v>
      </c>
      <c r="B750" s="188">
        <v>0</v>
      </c>
      <c r="C750" s="188">
        <v>0</v>
      </c>
      <c r="D750" s="188">
        <v>600</v>
      </c>
      <c r="E750" s="188">
        <v>600</v>
      </c>
      <c r="F750" s="188">
        <v>0</v>
      </c>
      <c r="G750" s="188">
        <v>0</v>
      </c>
      <c r="H750"/>
      <c r="I750"/>
    </row>
    <row r="751" spans="1:9" ht="15">
      <c r="A751" s="186" t="s">
        <v>1747</v>
      </c>
      <c r="B751" s="188">
        <v>0</v>
      </c>
      <c r="C751" s="188">
        <v>0</v>
      </c>
      <c r="D751" s="188">
        <v>27850.004639999999</v>
      </c>
      <c r="E751" s="188">
        <v>27850.004639999999</v>
      </c>
      <c r="F751" s="188">
        <v>0</v>
      </c>
      <c r="G751" s="188">
        <v>0</v>
      </c>
      <c r="H751"/>
      <c r="I751"/>
    </row>
    <row r="752" spans="1:9" ht="15">
      <c r="A752" s="186" t="s">
        <v>1748</v>
      </c>
      <c r="B752" s="188">
        <v>0</v>
      </c>
      <c r="C752" s="188">
        <v>0</v>
      </c>
      <c r="D752" s="188">
        <v>10571.07</v>
      </c>
      <c r="E752" s="188">
        <v>10571.07</v>
      </c>
      <c r="F752" s="188">
        <v>0</v>
      </c>
      <c r="G752" s="188">
        <v>0</v>
      </c>
      <c r="H752"/>
      <c r="I752"/>
    </row>
    <row r="753" spans="1:9" ht="15">
      <c r="A753" s="186" t="s">
        <v>1749</v>
      </c>
      <c r="B753" s="188">
        <v>6.9199999999999999E-3</v>
      </c>
      <c r="C753" s="188">
        <v>0</v>
      </c>
      <c r="D753" s="188">
        <v>11931.21552</v>
      </c>
      <c r="E753" s="188">
        <v>11501.75452</v>
      </c>
      <c r="F753" s="188">
        <v>429.46791999999999</v>
      </c>
      <c r="G753" s="188">
        <v>0</v>
      </c>
      <c r="H753" s="226" t="s">
        <v>2288</v>
      </c>
      <c r="I753" t="s">
        <v>2417</v>
      </c>
    </row>
    <row r="754" spans="1:9" ht="15">
      <c r="A754" s="186" t="s">
        <v>1750</v>
      </c>
      <c r="B754" s="188">
        <v>0</v>
      </c>
      <c r="C754" s="188">
        <v>0</v>
      </c>
      <c r="D754" s="188">
        <v>2647.2739999999999</v>
      </c>
      <c r="E754" s="188">
        <v>2375.7840000000001</v>
      </c>
      <c r="F754" s="188">
        <v>271.49</v>
      </c>
      <c r="G754" s="188">
        <v>0</v>
      </c>
      <c r="H754" s="226" t="s">
        <v>2288</v>
      </c>
      <c r="I754" t="s">
        <v>2349</v>
      </c>
    </row>
    <row r="755" spans="1:9" ht="15">
      <c r="A755" s="186" t="s">
        <v>1751</v>
      </c>
      <c r="B755" s="188">
        <v>437.08032000000003</v>
      </c>
      <c r="C755" s="188">
        <v>0</v>
      </c>
      <c r="D755" s="188">
        <v>11444.72712</v>
      </c>
      <c r="E755" s="188">
        <v>11635.807439999999</v>
      </c>
      <c r="F755" s="188">
        <v>246</v>
      </c>
      <c r="G755" s="188">
        <v>0</v>
      </c>
      <c r="H755" t="s">
        <v>2365</v>
      </c>
      <c r="I755"/>
    </row>
    <row r="756" spans="1:9" ht="15">
      <c r="A756" s="186" t="s">
        <v>1752</v>
      </c>
      <c r="B756" s="188">
        <v>14.861000000000001</v>
      </c>
      <c r="C756" s="188">
        <v>0</v>
      </c>
      <c r="D756" s="188">
        <v>0</v>
      </c>
      <c r="E756" s="188">
        <v>0</v>
      </c>
      <c r="F756" s="188">
        <v>14.861000000000001</v>
      </c>
      <c r="G756" s="188">
        <v>0</v>
      </c>
      <c r="H756" t="s">
        <v>2288</v>
      </c>
      <c r="I756"/>
    </row>
    <row r="757" spans="1:9" ht="15">
      <c r="A757" s="186" t="s">
        <v>1057</v>
      </c>
      <c r="B757" s="188">
        <v>12834.93485</v>
      </c>
      <c r="C757" s="188">
        <v>0</v>
      </c>
      <c r="D757" s="188">
        <v>540651.79166999995</v>
      </c>
      <c r="E757" s="188">
        <v>526932.56292000005</v>
      </c>
      <c r="F757" s="188">
        <v>26554.1636</v>
      </c>
      <c r="G757" s="188">
        <v>0</v>
      </c>
      <c r="H757" t="s">
        <v>2418</v>
      </c>
      <c r="I757"/>
    </row>
    <row r="758" spans="1:9" ht="15">
      <c r="A758" s="186" t="s">
        <v>1753</v>
      </c>
      <c r="B758" s="188">
        <v>0</v>
      </c>
      <c r="C758" s="188">
        <v>0</v>
      </c>
      <c r="D758" s="188">
        <v>8.92</v>
      </c>
      <c r="E758" s="188">
        <v>8.92</v>
      </c>
      <c r="F758" s="188">
        <v>0</v>
      </c>
      <c r="G758" s="188">
        <v>0</v>
      </c>
      <c r="H758"/>
      <c r="I758"/>
    </row>
    <row r="759" spans="1:9" ht="15">
      <c r="A759" s="186" t="s">
        <v>1754</v>
      </c>
      <c r="B759" s="188">
        <v>19688.7012</v>
      </c>
      <c r="C759" s="188">
        <v>0</v>
      </c>
      <c r="D759" s="188">
        <v>0</v>
      </c>
      <c r="E759" s="188">
        <v>19688.7012</v>
      </c>
      <c r="F759" s="188">
        <v>0</v>
      </c>
      <c r="G759" s="188">
        <v>0</v>
      </c>
      <c r="H759"/>
      <c r="I759"/>
    </row>
    <row r="760" spans="1:9" ht="15">
      <c r="A760" s="186" t="s">
        <v>1755</v>
      </c>
      <c r="B760" s="188">
        <v>0</v>
      </c>
      <c r="C760" s="188">
        <v>0</v>
      </c>
      <c r="D760" s="188">
        <v>504</v>
      </c>
      <c r="E760" s="188">
        <v>504</v>
      </c>
      <c r="F760" s="188">
        <v>0</v>
      </c>
      <c r="G760" s="188">
        <v>0</v>
      </c>
      <c r="H760"/>
      <c r="I760"/>
    </row>
    <row r="761" spans="1:9" ht="75">
      <c r="A761" s="186" t="s">
        <v>1061</v>
      </c>
      <c r="B761" s="188">
        <v>0</v>
      </c>
      <c r="C761" s="188">
        <v>0</v>
      </c>
      <c r="D761" s="188">
        <v>2759.5630000000001</v>
      </c>
      <c r="E761" s="188">
        <v>1065.598</v>
      </c>
      <c r="F761" s="197">
        <v>1693.9649999999999</v>
      </c>
      <c r="G761" s="188">
        <v>0</v>
      </c>
      <c r="H761" s="226" t="s">
        <v>2419</v>
      </c>
      <c r="I761"/>
    </row>
    <row r="762" spans="1:9" ht="15">
      <c r="A762" s="186" t="s">
        <v>1756</v>
      </c>
      <c r="B762" s="188">
        <v>0</v>
      </c>
      <c r="C762" s="188">
        <v>0</v>
      </c>
      <c r="D762" s="188">
        <v>12.06</v>
      </c>
      <c r="E762" s="188">
        <v>12.06</v>
      </c>
      <c r="F762" s="188">
        <v>0</v>
      </c>
      <c r="G762" s="188">
        <v>0</v>
      </c>
      <c r="H762"/>
      <c r="I762"/>
    </row>
    <row r="763" spans="1:9" ht="15">
      <c r="A763" s="186" t="s">
        <v>1757</v>
      </c>
      <c r="B763" s="188">
        <v>0</v>
      </c>
      <c r="C763" s="188">
        <v>0</v>
      </c>
      <c r="D763" s="188">
        <v>16359.56682</v>
      </c>
      <c r="E763" s="188">
        <v>16359.56682</v>
      </c>
      <c r="F763" s="188">
        <v>0</v>
      </c>
      <c r="G763" s="188">
        <v>0</v>
      </c>
      <c r="H763"/>
      <c r="I763"/>
    </row>
    <row r="764" spans="1:9" ht="15">
      <c r="A764" s="186" t="s">
        <v>1758</v>
      </c>
      <c r="B764" s="188">
        <v>1449.2054900000001</v>
      </c>
      <c r="C764" s="188">
        <v>0</v>
      </c>
      <c r="D764" s="188">
        <v>16805.718239999998</v>
      </c>
      <c r="E764" s="188">
        <v>18165.693329999998</v>
      </c>
      <c r="F764" s="188">
        <v>89.230399999999989</v>
      </c>
      <c r="G764" s="188">
        <v>0</v>
      </c>
      <c r="H764" t="s">
        <v>2164</v>
      </c>
      <c r="I764" t="s">
        <v>2420</v>
      </c>
    </row>
    <row r="765" spans="1:9" ht="15">
      <c r="A765" s="186" t="s">
        <v>1759</v>
      </c>
      <c r="B765" s="188">
        <v>0</v>
      </c>
      <c r="C765" s="188">
        <v>0</v>
      </c>
      <c r="D765" s="188">
        <v>2427.7632899999999</v>
      </c>
      <c r="E765" s="188">
        <v>2427.7632899999999</v>
      </c>
      <c r="F765" s="188">
        <v>0</v>
      </c>
      <c r="G765" s="188">
        <v>0</v>
      </c>
      <c r="H765"/>
      <c r="I765"/>
    </row>
    <row r="766" spans="1:9" ht="15">
      <c r="A766" s="186" t="s">
        <v>1760</v>
      </c>
      <c r="B766" s="188">
        <v>0</v>
      </c>
      <c r="C766" s="188">
        <v>0</v>
      </c>
      <c r="D766" s="188">
        <v>6151.049</v>
      </c>
      <c r="E766" s="188">
        <v>6151.049</v>
      </c>
      <c r="F766" s="188">
        <v>0</v>
      </c>
      <c r="G766" s="188">
        <v>0</v>
      </c>
      <c r="H766"/>
      <c r="I766"/>
    </row>
    <row r="767" spans="1:9" ht="15">
      <c r="A767" s="186" t="s">
        <v>1761</v>
      </c>
      <c r="B767" s="188">
        <v>0</v>
      </c>
      <c r="C767" s="188">
        <v>0</v>
      </c>
      <c r="D767" s="188">
        <v>40393.261009999995</v>
      </c>
      <c r="E767" s="188">
        <v>40393.261009999995</v>
      </c>
      <c r="F767" s="188">
        <v>0</v>
      </c>
      <c r="G767" s="188">
        <v>0</v>
      </c>
      <c r="H767"/>
      <c r="I767"/>
    </row>
    <row r="768" spans="1:9" ht="15">
      <c r="A768" s="186" t="s">
        <v>1762</v>
      </c>
      <c r="B768" s="188">
        <v>0</v>
      </c>
      <c r="C768" s="188">
        <v>0</v>
      </c>
      <c r="D768" s="188">
        <v>7.9</v>
      </c>
      <c r="E768" s="188">
        <v>7.9</v>
      </c>
      <c r="F768" s="188">
        <v>0</v>
      </c>
      <c r="G768" s="188">
        <v>0</v>
      </c>
      <c r="H768"/>
      <c r="I768"/>
    </row>
    <row r="769" spans="1:9" ht="15">
      <c r="A769" s="186" t="s">
        <v>1763</v>
      </c>
      <c r="B769" s="188">
        <v>9.4</v>
      </c>
      <c r="C769" s="188">
        <v>0</v>
      </c>
      <c r="D769" s="188">
        <v>0</v>
      </c>
      <c r="E769" s="188">
        <v>0</v>
      </c>
      <c r="F769" s="188">
        <v>9.4</v>
      </c>
      <c r="G769" s="188">
        <v>0</v>
      </c>
      <c r="H769" t="s">
        <v>2288</v>
      </c>
      <c r="I769" t="s">
        <v>2380</v>
      </c>
    </row>
    <row r="770" spans="1:9" ht="15">
      <c r="A770" s="186" t="s">
        <v>1764</v>
      </c>
      <c r="B770" s="188">
        <v>0</v>
      </c>
      <c r="C770" s="188">
        <v>0</v>
      </c>
      <c r="D770" s="188">
        <v>299.5</v>
      </c>
      <c r="E770" s="188">
        <v>299.5</v>
      </c>
      <c r="F770" s="188">
        <v>0</v>
      </c>
      <c r="G770" s="188">
        <v>0</v>
      </c>
      <c r="H770"/>
      <c r="I770"/>
    </row>
    <row r="771" spans="1:9" ht="15">
      <c r="A771" s="186" t="s">
        <v>1765</v>
      </c>
      <c r="B771" s="188">
        <v>0</v>
      </c>
      <c r="C771" s="188">
        <v>0</v>
      </c>
      <c r="D771" s="188">
        <v>372.27571999999998</v>
      </c>
      <c r="E771" s="188">
        <v>372.27571999999998</v>
      </c>
      <c r="F771" s="188">
        <v>0</v>
      </c>
      <c r="G771" s="188">
        <v>0</v>
      </c>
      <c r="H771"/>
      <c r="I771"/>
    </row>
    <row r="772" spans="1:9" ht="15">
      <c r="A772" s="186" t="s">
        <v>1766</v>
      </c>
      <c r="B772" s="188">
        <v>120</v>
      </c>
      <c r="C772" s="188">
        <v>0</v>
      </c>
      <c r="D772" s="188">
        <v>0</v>
      </c>
      <c r="E772" s="188">
        <v>0</v>
      </c>
      <c r="F772" s="188">
        <v>120</v>
      </c>
      <c r="G772" s="188">
        <v>0</v>
      </c>
      <c r="H772" t="s">
        <v>2164</v>
      </c>
      <c r="I772" t="s">
        <v>2421</v>
      </c>
    </row>
    <row r="773" spans="1:9" ht="15">
      <c r="A773" s="186" t="s">
        <v>1767</v>
      </c>
      <c r="B773" s="188">
        <v>5088</v>
      </c>
      <c r="C773" s="188">
        <v>0</v>
      </c>
      <c r="D773" s="188">
        <v>0</v>
      </c>
      <c r="E773" s="188">
        <v>5088</v>
      </c>
      <c r="F773" s="188">
        <v>0</v>
      </c>
      <c r="G773" s="188">
        <v>0</v>
      </c>
      <c r="H773"/>
      <c r="I773"/>
    </row>
    <row r="774" spans="1:9" ht="15">
      <c r="A774" s="186" t="s">
        <v>1768</v>
      </c>
      <c r="B774" s="188">
        <v>0</v>
      </c>
      <c r="C774" s="188">
        <v>0</v>
      </c>
      <c r="D774" s="188">
        <v>2777.7383999999997</v>
      </c>
      <c r="E774" s="188">
        <v>2777.7383999999997</v>
      </c>
      <c r="F774" s="188">
        <v>0</v>
      </c>
      <c r="G774" s="188">
        <v>0</v>
      </c>
      <c r="H774"/>
      <c r="I774"/>
    </row>
    <row r="775" spans="1:9" ht="15">
      <c r="A775" s="186" t="s">
        <v>1769</v>
      </c>
      <c r="B775" s="188">
        <v>154</v>
      </c>
      <c r="C775" s="188">
        <v>0</v>
      </c>
      <c r="D775" s="188">
        <v>3455</v>
      </c>
      <c r="E775" s="188">
        <v>3455</v>
      </c>
      <c r="F775" s="188">
        <v>154</v>
      </c>
      <c r="G775" s="188">
        <v>0</v>
      </c>
      <c r="H775" t="s">
        <v>2288</v>
      </c>
      <c r="I775" t="s">
        <v>2158</v>
      </c>
    </row>
    <row r="776" spans="1:9" ht="15">
      <c r="A776" s="186" t="s">
        <v>1770</v>
      </c>
      <c r="B776" s="188">
        <v>862.7</v>
      </c>
      <c r="C776" s="188">
        <v>0</v>
      </c>
      <c r="D776" s="188">
        <v>0</v>
      </c>
      <c r="E776" s="188">
        <v>0</v>
      </c>
      <c r="F776" s="188">
        <v>862.7</v>
      </c>
      <c r="G776" s="188">
        <v>0</v>
      </c>
      <c r="H776" t="s">
        <v>2288</v>
      </c>
      <c r="I776" t="s">
        <v>2158</v>
      </c>
    </row>
    <row r="777" spans="1:9" ht="15">
      <c r="A777" s="186" t="s">
        <v>1771</v>
      </c>
      <c r="B777" s="188">
        <v>0</v>
      </c>
      <c r="C777" s="188">
        <v>0</v>
      </c>
      <c r="D777" s="188">
        <v>32854.12098</v>
      </c>
      <c r="E777" s="188">
        <v>32854.12098</v>
      </c>
      <c r="F777" s="188">
        <v>0</v>
      </c>
      <c r="G777" s="188">
        <v>0</v>
      </c>
      <c r="H777"/>
      <c r="I777"/>
    </row>
    <row r="778" spans="1:9" ht="15">
      <c r="A778" s="186" t="s">
        <v>1772</v>
      </c>
      <c r="B778" s="188">
        <v>0</v>
      </c>
      <c r="C778" s="188">
        <v>0</v>
      </c>
      <c r="D778" s="188">
        <v>11.2</v>
      </c>
      <c r="E778" s="188">
        <v>11.2</v>
      </c>
      <c r="F778" s="188">
        <v>0</v>
      </c>
      <c r="G778" s="188">
        <v>0</v>
      </c>
      <c r="H778"/>
      <c r="I778"/>
    </row>
    <row r="779" spans="1:9" ht="15">
      <c r="A779" s="186" t="s">
        <v>1773</v>
      </c>
      <c r="B779" s="188">
        <v>348.6</v>
      </c>
      <c r="C779" s="188">
        <v>0</v>
      </c>
      <c r="D779" s="188">
        <v>0</v>
      </c>
      <c r="E779" s="188">
        <v>0</v>
      </c>
      <c r="F779" s="188">
        <v>348.6</v>
      </c>
      <c r="G779" s="188">
        <v>0</v>
      </c>
      <c r="H779" t="s">
        <v>2288</v>
      </c>
      <c r="I779" t="s">
        <v>2158</v>
      </c>
    </row>
    <row r="780" spans="1:9" ht="15">
      <c r="A780" s="186" t="s">
        <v>1774</v>
      </c>
      <c r="B780" s="188">
        <v>0</v>
      </c>
      <c r="C780" s="188">
        <v>0</v>
      </c>
      <c r="D780" s="188">
        <v>17954.553</v>
      </c>
      <c r="E780" s="188">
        <v>17954.553</v>
      </c>
      <c r="F780" s="188">
        <v>0</v>
      </c>
      <c r="G780" s="188">
        <v>0</v>
      </c>
      <c r="H780"/>
      <c r="I780"/>
    </row>
    <row r="781" spans="1:9" ht="15">
      <c r="A781" s="186" t="s">
        <v>1775</v>
      </c>
      <c r="B781" s="188">
        <v>0</v>
      </c>
      <c r="C781" s="188">
        <v>0</v>
      </c>
      <c r="D781" s="188">
        <v>913.54319999999996</v>
      </c>
      <c r="E781" s="188">
        <v>913.54319999999996</v>
      </c>
      <c r="F781" s="188">
        <v>0</v>
      </c>
      <c r="G781" s="188">
        <v>0</v>
      </c>
      <c r="H781"/>
      <c r="I781"/>
    </row>
    <row r="782" spans="1:9" ht="15">
      <c r="A782" s="186" t="s">
        <v>1776</v>
      </c>
      <c r="B782" s="188">
        <v>0</v>
      </c>
      <c r="C782" s="188">
        <v>0</v>
      </c>
      <c r="D782" s="188">
        <v>6819.3655999999992</v>
      </c>
      <c r="E782" s="188">
        <v>6193.6255999999994</v>
      </c>
      <c r="F782" s="188">
        <v>625.74</v>
      </c>
      <c r="G782" s="188">
        <v>0</v>
      </c>
      <c r="H782" t="s">
        <v>2288</v>
      </c>
      <c r="I782"/>
    </row>
    <row r="783" spans="1:9" ht="15">
      <c r="A783" s="186" t="s">
        <v>1777</v>
      </c>
      <c r="B783" s="188">
        <v>0</v>
      </c>
      <c r="C783" s="188">
        <v>0</v>
      </c>
      <c r="D783" s="188">
        <v>163.19999999999999</v>
      </c>
      <c r="E783" s="188">
        <v>163.19999999999999</v>
      </c>
      <c r="F783" s="188">
        <v>0</v>
      </c>
      <c r="G783" s="188">
        <v>0</v>
      </c>
      <c r="H783"/>
      <c r="I783"/>
    </row>
    <row r="784" spans="1:9" ht="15">
      <c r="A784" s="186" t="s">
        <v>1778</v>
      </c>
      <c r="B784" s="188">
        <v>0</v>
      </c>
      <c r="C784" s="188">
        <v>0</v>
      </c>
      <c r="D784" s="188">
        <v>2643.3539999999998</v>
      </c>
      <c r="E784" s="188">
        <v>2643.3539999999998</v>
      </c>
      <c r="F784" s="188">
        <v>0</v>
      </c>
      <c r="G784" s="188">
        <v>0</v>
      </c>
      <c r="H784"/>
      <c r="I784"/>
    </row>
    <row r="785" spans="1:9" ht="15">
      <c r="A785" s="186" t="s">
        <v>1779</v>
      </c>
      <c r="B785" s="188">
        <v>0</v>
      </c>
      <c r="C785" s="188">
        <v>0</v>
      </c>
      <c r="D785" s="188">
        <v>519.79999999999995</v>
      </c>
      <c r="E785" s="188">
        <v>519.79999999999995</v>
      </c>
      <c r="F785" s="188">
        <v>0</v>
      </c>
      <c r="G785" s="188">
        <v>0</v>
      </c>
      <c r="H785"/>
      <c r="I785"/>
    </row>
    <row r="786" spans="1:9" ht="15">
      <c r="A786" s="186" t="s">
        <v>1780</v>
      </c>
      <c r="B786" s="188">
        <v>0</v>
      </c>
      <c r="C786" s="188">
        <v>0</v>
      </c>
      <c r="D786" s="188">
        <v>1302.9650300000001</v>
      </c>
      <c r="E786" s="188">
        <v>1302.9650300000001</v>
      </c>
      <c r="F786" s="188">
        <v>0</v>
      </c>
      <c r="G786" s="188">
        <v>0</v>
      </c>
      <c r="H786"/>
      <c r="I786"/>
    </row>
    <row r="787" spans="1:9" ht="105">
      <c r="A787" s="186" t="s">
        <v>1781</v>
      </c>
      <c r="B787" s="188">
        <v>0</v>
      </c>
      <c r="C787" s="188">
        <v>0</v>
      </c>
      <c r="D787" s="188">
        <v>42395.541369999999</v>
      </c>
      <c r="E787" s="188">
        <v>28609.262999999999</v>
      </c>
      <c r="F787" s="197">
        <v>13786.27837</v>
      </c>
      <c r="G787" s="188">
        <v>0</v>
      </c>
      <c r="H787" s="226" t="s">
        <v>2422</v>
      </c>
      <c r="I787" t="s">
        <v>2378</v>
      </c>
    </row>
    <row r="788" spans="1:9" ht="15">
      <c r="A788" s="186" t="s">
        <v>1782</v>
      </c>
      <c r="B788" s="188">
        <v>0</v>
      </c>
      <c r="C788" s="188">
        <v>0</v>
      </c>
      <c r="D788" s="188">
        <v>30</v>
      </c>
      <c r="E788" s="188">
        <v>30</v>
      </c>
      <c r="F788" s="188">
        <v>0</v>
      </c>
      <c r="G788" s="188">
        <v>0</v>
      </c>
      <c r="H788"/>
      <c r="I788"/>
    </row>
    <row r="789" spans="1:9" ht="15">
      <c r="A789" s="186" t="s">
        <v>1783</v>
      </c>
      <c r="B789" s="188">
        <v>0</v>
      </c>
      <c r="C789" s="188">
        <v>0</v>
      </c>
      <c r="D789" s="188">
        <v>1.9</v>
      </c>
      <c r="E789" s="188">
        <v>1.9</v>
      </c>
      <c r="F789" s="188">
        <v>0</v>
      </c>
      <c r="G789" s="188">
        <v>0</v>
      </c>
      <c r="H789"/>
      <c r="I789"/>
    </row>
    <row r="790" spans="1:9" ht="15">
      <c r="A790" s="186" t="s">
        <v>1784</v>
      </c>
      <c r="B790" s="188">
        <v>0</v>
      </c>
      <c r="C790" s="188">
        <v>0</v>
      </c>
      <c r="D790" s="188">
        <v>1232.45</v>
      </c>
      <c r="E790" s="188">
        <v>1232.45</v>
      </c>
      <c r="F790" s="188">
        <v>0</v>
      </c>
      <c r="G790" s="188">
        <v>0</v>
      </c>
      <c r="H790"/>
      <c r="I790"/>
    </row>
    <row r="791" spans="1:9" ht="15">
      <c r="A791" s="186" t="s">
        <v>1785</v>
      </c>
      <c r="B791" s="188">
        <v>0</v>
      </c>
      <c r="C791" s="188">
        <v>0</v>
      </c>
      <c r="D791" s="188">
        <v>48</v>
      </c>
      <c r="E791" s="188">
        <v>48</v>
      </c>
      <c r="F791" s="188">
        <v>0</v>
      </c>
      <c r="G791" s="188">
        <v>0</v>
      </c>
      <c r="H791"/>
      <c r="I791"/>
    </row>
    <row r="792" spans="1:9" ht="15">
      <c r="A792" s="186" t="s">
        <v>1786</v>
      </c>
      <c r="B792" s="188">
        <v>0</v>
      </c>
      <c r="C792" s="188">
        <v>0</v>
      </c>
      <c r="D792" s="188">
        <v>15540.784</v>
      </c>
      <c r="E792" s="188">
        <v>15540.784</v>
      </c>
      <c r="F792" s="188">
        <v>0</v>
      </c>
      <c r="G792" s="188">
        <v>0</v>
      </c>
      <c r="H792"/>
      <c r="I792"/>
    </row>
    <row r="793" spans="1:9" ht="15">
      <c r="A793" s="186" t="s">
        <v>1787</v>
      </c>
      <c r="B793" s="188">
        <v>0</v>
      </c>
      <c r="C793" s="188">
        <v>0</v>
      </c>
      <c r="D793" s="188">
        <v>2.5430000000000001</v>
      </c>
      <c r="E793" s="188">
        <v>2.5430000000000001</v>
      </c>
      <c r="F793" s="188">
        <v>0</v>
      </c>
      <c r="G793" s="188">
        <v>0</v>
      </c>
      <c r="H793"/>
      <c r="I793"/>
    </row>
    <row r="794" spans="1:9" ht="15">
      <c r="A794" s="186" t="s">
        <v>1788</v>
      </c>
      <c r="B794" s="188">
        <v>0</v>
      </c>
      <c r="C794" s="188">
        <v>0</v>
      </c>
      <c r="D794" s="188">
        <v>1095.6626999999999</v>
      </c>
      <c r="E794" s="188">
        <v>1095.6626999999999</v>
      </c>
      <c r="F794" s="188">
        <v>0</v>
      </c>
      <c r="G794" s="188">
        <v>0</v>
      </c>
      <c r="H794"/>
      <c r="I794"/>
    </row>
    <row r="795" spans="1:9" ht="15">
      <c r="A795" s="186" t="s">
        <v>1789</v>
      </c>
      <c r="B795" s="188">
        <v>0</v>
      </c>
      <c r="C795" s="188">
        <v>0</v>
      </c>
      <c r="D795" s="188">
        <v>1045.8889999999999</v>
      </c>
      <c r="E795" s="188">
        <v>1045.8889999999999</v>
      </c>
      <c r="F795" s="188">
        <v>0</v>
      </c>
      <c r="G795" s="188">
        <v>0</v>
      </c>
      <c r="H795"/>
      <c r="I795"/>
    </row>
    <row r="796" spans="1:9" ht="15">
      <c r="A796" s="186" t="s">
        <v>1790</v>
      </c>
      <c r="B796" s="188">
        <v>0</v>
      </c>
      <c r="C796" s="188">
        <v>0</v>
      </c>
      <c r="D796" s="188">
        <v>5032.1222199999993</v>
      </c>
      <c r="E796" s="188">
        <v>5032.1222199999993</v>
      </c>
      <c r="F796" s="188">
        <v>0</v>
      </c>
      <c r="G796" s="188">
        <v>0</v>
      </c>
      <c r="H796"/>
      <c r="I796"/>
    </row>
    <row r="797" spans="1:9" ht="15">
      <c r="A797" s="186" t="s">
        <v>1791</v>
      </c>
      <c r="B797" s="188">
        <v>58.695</v>
      </c>
      <c r="C797" s="188">
        <v>0</v>
      </c>
      <c r="D797" s="188">
        <v>58.695</v>
      </c>
      <c r="E797" s="188">
        <v>117.39</v>
      </c>
      <c r="F797" s="188">
        <v>0</v>
      </c>
      <c r="G797" s="188">
        <v>0</v>
      </c>
      <c r="H797"/>
      <c r="I797"/>
    </row>
    <row r="798" spans="1:9" ht="15">
      <c r="A798" s="186" t="s">
        <v>1792</v>
      </c>
      <c r="B798" s="188">
        <v>0</v>
      </c>
      <c r="C798" s="188">
        <v>0</v>
      </c>
      <c r="D798" s="188">
        <v>135.32499999999999</v>
      </c>
      <c r="E798" s="188">
        <v>135.32499999999999</v>
      </c>
      <c r="F798" s="188">
        <v>0</v>
      </c>
      <c r="G798" s="188">
        <v>0</v>
      </c>
      <c r="H798"/>
      <c r="I798"/>
    </row>
    <row r="799" spans="1:9" ht="15">
      <c r="A799" s="186" t="s">
        <v>1793</v>
      </c>
      <c r="B799" s="188">
        <v>0</v>
      </c>
      <c r="C799" s="188">
        <v>0</v>
      </c>
      <c r="D799" s="188">
        <v>185</v>
      </c>
      <c r="E799" s="188">
        <v>0</v>
      </c>
      <c r="F799" s="188">
        <v>185</v>
      </c>
      <c r="G799" s="188">
        <v>0</v>
      </c>
      <c r="H799" t="s">
        <v>2288</v>
      </c>
      <c r="I799"/>
    </row>
    <row r="800" spans="1:9" ht="15">
      <c r="A800" s="186" t="s">
        <v>1794</v>
      </c>
      <c r="B800" s="188">
        <v>184</v>
      </c>
      <c r="C800" s="188">
        <v>0</v>
      </c>
      <c r="D800" s="188">
        <v>10350</v>
      </c>
      <c r="E800" s="188">
        <v>10350</v>
      </c>
      <c r="F800" s="188">
        <v>184</v>
      </c>
      <c r="G800" s="188">
        <v>0</v>
      </c>
      <c r="H800" t="s">
        <v>2288</v>
      </c>
      <c r="I800"/>
    </row>
    <row r="801" spans="1:9" ht="15">
      <c r="A801" s="186" t="s">
        <v>1795</v>
      </c>
      <c r="B801" s="188">
        <v>157.24799999999999</v>
      </c>
      <c r="C801" s="188">
        <v>0</v>
      </c>
      <c r="D801" s="188">
        <v>0</v>
      </c>
      <c r="E801" s="188">
        <v>0</v>
      </c>
      <c r="F801" s="188">
        <v>157.24799999999999</v>
      </c>
      <c r="G801" s="188">
        <v>0</v>
      </c>
      <c r="H801" t="s">
        <v>2288</v>
      </c>
      <c r="I801" t="s">
        <v>2423</v>
      </c>
    </row>
    <row r="802" spans="1:9" ht="15">
      <c r="A802" s="186" t="s">
        <v>1796</v>
      </c>
      <c r="B802" s="188">
        <v>583.34208000000001</v>
      </c>
      <c r="C802" s="188">
        <v>0</v>
      </c>
      <c r="D802" s="188">
        <v>0</v>
      </c>
      <c r="E802" s="188">
        <v>0</v>
      </c>
      <c r="F802" s="188">
        <v>583.34208000000001</v>
      </c>
      <c r="G802" s="188">
        <v>0</v>
      </c>
      <c r="H802" t="s">
        <v>2288</v>
      </c>
      <c r="I802" t="s">
        <v>2424</v>
      </c>
    </row>
    <row r="803" spans="1:9" ht="15">
      <c r="A803" s="186" t="s">
        <v>1797</v>
      </c>
      <c r="B803" s="188">
        <v>0</v>
      </c>
      <c r="C803" s="188">
        <v>0</v>
      </c>
      <c r="D803" s="188">
        <v>1515.3557599999999</v>
      </c>
      <c r="E803" s="188">
        <v>1515.3557599999999</v>
      </c>
      <c r="F803" s="188">
        <v>0</v>
      </c>
      <c r="G803" s="188">
        <v>0</v>
      </c>
      <c r="H803"/>
      <c r="I803"/>
    </row>
    <row r="804" spans="1:9" ht="15">
      <c r="A804" s="186" t="s">
        <v>1798</v>
      </c>
      <c r="B804" s="188">
        <v>0</v>
      </c>
      <c r="C804" s="188">
        <v>0</v>
      </c>
      <c r="D804" s="188">
        <v>50315.98</v>
      </c>
      <c r="E804" s="188">
        <v>50315.98</v>
      </c>
      <c r="F804" s="188">
        <v>0</v>
      </c>
      <c r="G804" s="188">
        <v>0</v>
      </c>
      <c r="H804"/>
      <c r="I804"/>
    </row>
    <row r="805" spans="1:9" ht="15">
      <c r="A805" s="186" t="s">
        <v>1799</v>
      </c>
      <c r="B805" s="188">
        <v>0</v>
      </c>
      <c r="C805" s="188">
        <v>0</v>
      </c>
      <c r="D805" s="188">
        <v>5481.1151300000001</v>
      </c>
      <c r="E805" s="188">
        <v>5481.1151300000001</v>
      </c>
      <c r="F805" s="188">
        <v>0</v>
      </c>
      <c r="G805" s="188">
        <v>0</v>
      </c>
      <c r="H805"/>
      <c r="I805"/>
    </row>
    <row r="806" spans="1:9" ht="15">
      <c r="A806" s="186" t="s">
        <v>1800</v>
      </c>
      <c r="B806" s="188">
        <v>0</v>
      </c>
      <c r="C806" s="188">
        <v>0</v>
      </c>
      <c r="D806" s="188">
        <v>14910.132</v>
      </c>
      <c r="E806" s="188">
        <v>14910.132</v>
      </c>
      <c r="F806" s="188">
        <v>0</v>
      </c>
      <c r="G806" s="188">
        <v>0</v>
      </c>
      <c r="H806"/>
      <c r="I806"/>
    </row>
    <row r="807" spans="1:9" ht="15">
      <c r="A807" s="186" t="s">
        <v>1801</v>
      </c>
      <c r="B807" s="188">
        <v>20</v>
      </c>
      <c r="C807" s="188">
        <v>0</v>
      </c>
      <c r="D807" s="188">
        <v>0</v>
      </c>
      <c r="E807" s="188">
        <v>0</v>
      </c>
      <c r="F807" s="188">
        <v>20</v>
      </c>
      <c r="G807" s="188">
        <v>0</v>
      </c>
      <c r="H807" t="s">
        <v>2164</v>
      </c>
      <c r="I807" t="s">
        <v>2331</v>
      </c>
    </row>
    <row r="808" spans="1:9" ht="15">
      <c r="A808" s="186" t="s">
        <v>1802</v>
      </c>
      <c r="B808" s="188">
        <v>0</v>
      </c>
      <c r="C808" s="188">
        <v>0</v>
      </c>
      <c r="D808" s="188">
        <v>765</v>
      </c>
      <c r="E808" s="188">
        <v>765</v>
      </c>
      <c r="F808" s="188">
        <v>0</v>
      </c>
      <c r="G808" s="188">
        <v>0</v>
      </c>
      <c r="H808"/>
      <c r="I808"/>
    </row>
    <row r="809" spans="1:9" ht="15">
      <c r="A809" s="186" t="s">
        <v>1803</v>
      </c>
      <c r="B809" s="188">
        <v>0</v>
      </c>
      <c r="C809" s="188">
        <v>0</v>
      </c>
      <c r="D809" s="188">
        <v>341.33411000000001</v>
      </c>
      <c r="E809" s="188">
        <v>0</v>
      </c>
      <c r="F809" s="188">
        <v>341.33411000000001</v>
      </c>
      <c r="G809" s="188">
        <v>0</v>
      </c>
      <c r="H809" t="s">
        <v>2164</v>
      </c>
      <c r="I809" t="s">
        <v>2403</v>
      </c>
    </row>
    <row r="810" spans="1:9" ht="15">
      <c r="A810" s="186" t="s">
        <v>1804</v>
      </c>
      <c r="B810" s="188">
        <v>0</v>
      </c>
      <c r="C810" s="188">
        <v>0</v>
      </c>
      <c r="D810" s="188">
        <v>42.5</v>
      </c>
      <c r="E810" s="188">
        <v>42.5</v>
      </c>
      <c r="F810" s="188">
        <v>0</v>
      </c>
      <c r="G810" s="188">
        <v>0</v>
      </c>
      <c r="H810"/>
      <c r="I810"/>
    </row>
    <row r="811" spans="1:9" ht="15">
      <c r="A811" s="186" t="s">
        <v>1805</v>
      </c>
      <c r="B811" s="188">
        <v>0</v>
      </c>
      <c r="C811" s="188">
        <v>0</v>
      </c>
      <c r="D811" s="188">
        <v>10890</v>
      </c>
      <c r="E811" s="188">
        <v>10890</v>
      </c>
      <c r="F811" s="188">
        <v>0</v>
      </c>
      <c r="G811" s="188">
        <v>0</v>
      </c>
      <c r="H811"/>
      <c r="I811"/>
    </row>
    <row r="812" spans="1:9" ht="15">
      <c r="A812" s="186" t="s">
        <v>1806</v>
      </c>
      <c r="B812" s="188">
        <v>0</v>
      </c>
      <c r="C812" s="188">
        <v>0</v>
      </c>
      <c r="D812" s="188">
        <v>542.34799999999996</v>
      </c>
      <c r="E812" s="188">
        <v>542.34799999999996</v>
      </c>
      <c r="F812" s="188">
        <v>0</v>
      </c>
      <c r="G812" s="188">
        <v>0</v>
      </c>
      <c r="H812"/>
      <c r="I812"/>
    </row>
    <row r="813" spans="1:9" ht="150">
      <c r="A813" s="186" t="s">
        <v>1101</v>
      </c>
      <c r="B813" s="188">
        <v>0</v>
      </c>
      <c r="C813" s="188">
        <v>0</v>
      </c>
      <c r="D813" s="188">
        <v>2494.9720000000002</v>
      </c>
      <c r="E813" s="188">
        <v>0</v>
      </c>
      <c r="F813" s="197">
        <v>2494.9720000000002</v>
      </c>
      <c r="G813" s="188">
        <v>0</v>
      </c>
      <c r="H813" s="226" t="s">
        <v>2286</v>
      </c>
      <c r="I813"/>
    </row>
    <row r="814" spans="1:9" ht="15">
      <c r="A814" s="186" t="s">
        <v>1807</v>
      </c>
      <c r="B814" s="188">
        <v>10</v>
      </c>
      <c r="C814" s="188">
        <v>0</v>
      </c>
      <c r="D814" s="188">
        <v>74.5</v>
      </c>
      <c r="E814" s="188">
        <v>74.5</v>
      </c>
      <c r="F814" s="188">
        <v>10</v>
      </c>
      <c r="G814" s="188">
        <v>0</v>
      </c>
      <c r="H814" t="s">
        <v>2288</v>
      </c>
      <c r="I814" t="s">
        <v>2324</v>
      </c>
    </row>
    <row r="815" spans="1:9" ht="15">
      <c r="A815" s="186" t="s">
        <v>1808</v>
      </c>
      <c r="B815" s="188">
        <v>0</v>
      </c>
      <c r="C815" s="188">
        <v>0</v>
      </c>
      <c r="D815" s="188">
        <v>3889.7712000000001</v>
      </c>
      <c r="E815" s="188">
        <v>3889.7712000000001</v>
      </c>
      <c r="F815" s="188">
        <v>0</v>
      </c>
      <c r="G815" s="188">
        <v>0</v>
      </c>
      <c r="H815"/>
      <c r="I815"/>
    </row>
    <row r="816" spans="1:9" ht="15">
      <c r="A816" s="186" t="s">
        <v>1809</v>
      </c>
      <c r="B816" s="188">
        <v>0</v>
      </c>
      <c r="C816" s="188">
        <v>0</v>
      </c>
      <c r="D816" s="188">
        <v>2000</v>
      </c>
      <c r="E816" s="188">
        <v>2000</v>
      </c>
      <c r="F816" s="188">
        <v>0</v>
      </c>
      <c r="G816" s="188">
        <v>0</v>
      </c>
      <c r="H816"/>
      <c r="I816"/>
    </row>
    <row r="817" spans="1:9" ht="15">
      <c r="A817" s="186" t="s">
        <v>1810</v>
      </c>
      <c r="B817" s="188">
        <v>0</v>
      </c>
      <c r="C817" s="188">
        <v>0</v>
      </c>
      <c r="D817" s="188">
        <v>11322.93376</v>
      </c>
      <c r="E817" s="188">
        <v>11322.93376</v>
      </c>
      <c r="F817" s="188">
        <v>0</v>
      </c>
      <c r="G817" s="188">
        <v>0</v>
      </c>
      <c r="H817"/>
      <c r="I817"/>
    </row>
    <row r="818" spans="1:9" ht="15">
      <c r="A818" s="186" t="s">
        <v>1811</v>
      </c>
      <c r="B818" s="188">
        <v>0</v>
      </c>
      <c r="C818" s="188">
        <v>0</v>
      </c>
      <c r="D818" s="188">
        <v>10894.026</v>
      </c>
      <c r="E818" s="188">
        <v>10894.026</v>
      </c>
      <c r="F818" s="188">
        <v>0</v>
      </c>
      <c r="G818" s="188">
        <v>0</v>
      </c>
      <c r="H818"/>
      <c r="I818"/>
    </row>
    <row r="819" spans="1:9" ht="15">
      <c r="A819" s="186" t="s">
        <v>1812</v>
      </c>
      <c r="B819" s="188">
        <v>180</v>
      </c>
      <c r="C819" s="188">
        <v>0</v>
      </c>
      <c r="D819" s="188">
        <v>270</v>
      </c>
      <c r="E819" s="188">
        <v>450</v>
      </c>
      <c r="F819" s="188">
        <v>0</v>
      </c>
      <c r="G819" s="188">
        <v>0</v>
      </c>
      <c r="H819"/>
      <c r="I819"/>
    </row>
    <row r="820" spans="1:9" ht="15">
      <c r="A820" s="186" t="s">
        <v>1813</v>
      </c>
      <c r="B820" s="188">
        <v>316</v>
      </c>
      <c r="C820" s="188">
        <v>0</v>
      </c>
      <c r="D820" s="188">
        <v>66</v>
      </c>
      <c r="E820" s="188">
        <v>123</v>
      </c>
      <c r="F820" s="188">
        <v>259</v>
      </c>
      <c r="G820" s="188">
        <v>0</v>
      </c>
      <c r="H820" t="s">
        <v>2164</v>
      </c>
      <c r="I820" t="s">
        <v>2366</v>
      </c>
    </row>
    <row r="821" spans="1:9" ht="15">
      <c r="A821" s="186" t="s">
        <v>1814</v>
      </c>
      <c r="B821" s="188">
        <v>0</v>
      </c>
      <c r="C821" s="188">
        <v>0</v>
      </c>
      <c r="D821" s="188">
        <v>116.4</v>
      </c>
      <c r="E821" s="188">
        <v>116.4</v>
      </c>
      <c r="F821" s="188">
        <v>0</v>
      </c>
      <c r="G821" s="188">
        <v>0</v>
      </c>
      <c r="H821"/>
      <c r="I821"/>
    </row>
    <row r="822" spans="1:9" ht="15">
      <c r="A822" s="186" t="s">
        <v>1815</v>
      </c>
      <c r="B822" s="188">
        <v>8.0519999999999996</v>
      </c>
      <c r="C822" s="188">
        <v>0</v>
      </c>
      <c r="D822" s="188">
        <v>0</v>
      </c>
      <c r="E822" s="188">
        <v>8.0519999999999996</v>
      </c>
      <c r="F822" s="188">
        <v>0</v>
      </c>
      <c r="G822" s="188">
        <v>0</v>
      </c>
      <c r="H822"/>
      <c r="I822"/>
    </row>
    <row r="823" spans="1:9" ht="15">
      <c r="A823" s="186" t="s">
        <v>1816</v>
      </c>
      <c r="B823" s="188">
        <v>0</v>
      </c>
      <c r="C823" s="188">
        <v>0</v>
      </c>
      <c r="D823" s="188">
        <v>428.70299999999997</v>
      </c>
      <c r="E823" s="188">
        <v>428.70299999999997</v>
      </c>
      <c r="F823" s="188">
        <v>0</v>
      </c>
      <c r="G823" s="188">
        <v>0</v>
      </c>
      <c r="H823"/>
      <c r="I823"/>
    </row>
    <row r="824" spans="1:9" ht="15">
      <c r="A824" s="186" t="s">
        <v>1817</v>
      </c>
      <c r="B824" s="188">
        <v>505.21499999999997</v>
      </c>
      <c r="C824" s="188">
        <v>0</v>
      </c>
      <c r="D824" s="188">
        <v>0</v>
      </c>
      <c r="E824" s="188">
        <v>0</v>
      </c>
      <c r="F824" s="188">
        <v>505.21499999999997</v>
      </c>
      <c r="G824" s="188">
        <v>0</v>
      </c>
      <c r="H824" t="s">
        <v>2288</v>
      </c>
      <c r="I824" t="s">
        <v>2425</v>
      </c>
    </row>
    <row r="825" spans="1:9" ht="15">
      <c r="A825" s="186" t="s">
        <v>1818</v>
      </c>
      <c r="B825" s="188">
        <v>0</v>
      </c>
      <c r="C825" s="188">
        <v>0</v>
      </c>
      <c r="D825" s="188">
        <v>1695.0131299999998</v>
      </c>
      <c r="E825" s="188">
        <v>1362.8456299999998</v>
      </c>
      <c r="F825" s="188">
        <v>332.16750000000002</v>
      </c>
      <c r="G825" s="188">
        <v>0</v>
      </c>
      <c r="H825" t="s">
        <v>2288</v>
      </c>
      <c r="I825"/>
    </row>
    <row r="826" spans="1:9" ht="15">
      <c r="A826" s="186" t="s">
        <v>1819</v>
      </c>
      <c r="B826" s="188">
        <v>0</v>
      </c>
      <c r="C826" s="188">
        <v>0</v>
      </c>
      <c r="D826" s="188">
        <v>10200</v>
      </c>
      <c r="E826" s="188">
        <v>10200</v>
      </c>
      <c r="F826" s="188">
        <v>0</v>
      </c>
      <c r="G826" s="188">
        <v>0</v>
      </c>
      <c r="H826"/>
      <c r="I826"/>
    </row>
    <row r="827" spans="1:9" ht="15">
      <c r="A827" s="186" t="s">
        <v>1820</v>
      </c>
      <c r="B827" s="188">
        <v>0</v>
      </c>
      <c r="C827" s="188">
        <v>0</v>
      </c>
      <c r="D827" s="188">
        <v>290.45999999999998</v>
      </c>
      <c r="E827" s="188">
        <v>290.45999999999998</v>
      </c>
      <c r="F827" s="188">
        <v>0</v>
      </c>
      <c r="G827" s="188">
        <v>0</v>
      </c>
      <c r="H827"/>
      <c r="I827"/>
    </row>
    <row r="828" spans="1:9" ht="15">
      <c r="A828" s="186" t="s">
        <v>1821</v>
      </c>
      <c r="B828" s="188">
        <v>0</v>
      </c>
      <c r="C828" s="188">
        <v>0</v>
      </c>
      <c r="D828" s="188">
        <v>79975.614620000008</v>
      </c>
      <c r="E828" s="188">
        <v>79975.614620000008</v>
      </c>
      <c r="F828" s="188">
        <v>0</v>
      </c>
      <c r="G828" s="188">
        <v>0</v>
      </c>
      <c r="H828"/>
      <c r="I828"/>
    </row>
    <row r="829" spans="1:9" ht="15">
      <c r="A829" s="186" t="s">
        <v>1822</v>
      </c>
      <c r="B829" s="188">
        <v>0</v>
      </c>
      <c r="C829" s="188">
        <v>0</v>
      </c>
      <c r="D829" s="188">
        <v>40</v>
      </c>
      <c r="E829" s="188">
        <v>40</v>
      </c>
      <c r="F829" s="188">
        <v>0</v>
      </c>
      <c r="G829" s="188">
        <v>0</v>
      </c>
      <c r="H829"/>
      <c r="I829"/>
    </row>
    <row r="830" spans="1:9" ht="15">
      <c r="A830" s="186" t="s">
        <v>1823</v>
      </c>
      <c r="B830" s="188">
        <v>0</v>
      </c>
      <c r="C830" s="188">
        <v>0</v>
      </c>
      <c r="D830" s="188">
        <v>11000</v>
      </c>
      <c r="E830" s="188">
        <v>11000</v>
      </c>
      <c r="F830" s="188">
        <v>0</v>
      </c>
      <c r="G830" s="188">
        <v>0</v>
      </c>
      <c r="H830"/>
      <c r="I830"/>
    </row>
    <row r="831" spans="1:9" ht="15">
      <c r="A831" s="186" t="s">
        <v>1824</v>
      </c>
      <c r="B831" s="188">
        <v>0</v>
      </c>
      <c r="C831" s="188">
        <v>0</v>
      </c>
      <c r="D831" s="188">
        <v>1061.77891</v>
      </c>
      <c r="E831" s="188">
        <v>1061.77891</v>
      </c>
      <c r="F831" s="188">
        <v>0</v>
      </c>
      <c r="G831" s="188">
        <v>0</v>
      </c>
      <c r="H831"/>
      <c r="I831"/>
    </row>
    <row r="832" spans="1:9" ht="15">
      <c r="A832" s="186" t="s">
        <v>1825</v>
      </c>
      <c r="B832" s="188">
        <v>0</v>
      </c>
      <c r="C832" s="188">
        <v>0</v>
      </c>
      <c r="D832" s="188">
        <v>10861.815199999999</v>
      </c>
      <c r="E832" s="188">
        <v>10861.815199999999</v>
      </c>
      <c r="F832" s="188">
        <v>0</v>
      </c>
      <c r="G832" s="188">
        <v>0</v>
      </c>
      <c r="H832"/>
      <c r="I832"/>
    </row>
    <row r="833" spans="1:9" ht="15">
      <c r="A833" s="186" t="s">
        <v>1826</v>
      </c>
      <c r="B833" s="188">
        <v>0</v>
      </c>
      <c r="C833" s="188">
        <v>0</v>
      </c>
      <c r="D833" s="188">
        <v>68</v>
      </c>
      <c r="E833" s="188">
        <v>68</v>
      </c>
      <c r="F833" s="188">
        <v>0</v>
      </c>
      <c r="G833" s="188">
        <v>0</v>
      </c>
      <c r="H833"/>
      <c r="I833"/>
    </row>
    <row r="834" spans="1:9" ht="15">
      <c r="A834" s="186" t="s">
        <v>1827</v>
      </c>
      <c r="B834" s="188">
        <v>0</v>
      </c>
      <c r="C834" s="188">
        <v>0</v>
      </c>
      <c r="D834" s="188">
        <v>600</v>
      </c>
      <c r="E834" s="188">
        <v>600</v>
      </c>
      <c r="F834" s="188">
        <v>0</v>
      </c>
      <c r="G834" s="188">
        <v>0</v>
      </c>
      <c r="H834"/>
      <c r="I834"/>
    </row>
    <row r="835" spans="1:9" ht="15">
      <c r="A835" s="186" t="s">
        <v>1828</v>
      </c>
      <c r="B835" s="188">
        <v>0</v>
      </c>
      <c r="C835" s="188">
        <v>0</v>
      </c>
      <c r="D835" s="188">
        <v>24.2</v>
      </c>
      <c r="E835" s="188">
        <v>24.2</v>
      </c>
      <c r="F835" s="188">
        <v>0</v>
      </c>
      <c r="G835" s="188">
        <v>0</v>
      </c>
      <c r="H835"/>
      <c r="I835"/>
    </row>
    <row r="836" spans="1:9" ht="15">
      <c r="A836" s="186" t="s">
        <v>1829</v>
      </c>
      <c r="B836" s="188">
        <v>0</v>
      </c>
      <c r="C836" s="188">
        <v>0</v>
      </c>
      <c r="D836" s="188">
        <v>302.60000000000002</v>
      </c>
      <c r="E836" s="188">
        <v>302.60000000000002</v>
      </c>
      <c r="F836" s="188">
        <v>0</v>
      </c>
      <c r="G836" s="188">
        <v>0</v>
      </c>
      <c r="H836"/>
      <c r="I836"/>
    </row>
    <row r="837" spans="1:9" ht="15">
      <c r="A837" s="186" t="s">
        <v>1830</v>
      </c>
      <c r="B837" s="188">
        <v>0</v>
      </c>
      <c r="C837" s="188">
        <v>0</v>
      </c>
      <c r="D837" s="188">
        <v>37.85</v>
      </c>
      <c r="E837" s="188">
        <v>37.85</v>
      </c>
      <c r="F837" s="188">
        <v>0</v>
      </c>
      <c r="G837" s="188">
        <v>0</v>
      </c>
      <c r="H837"/>
      <c r="I837"/>
    </row>
    <row r="838" spans="1:9" ht="15">
      <c r="A838" s="186" t="s">
        <v>1831</v>
      </c>
      <c r="B838" s="188">
        <v>0</v>
      </c>
      <c r="C838" s="188">
        <v>0</v>
      </c>
      <c r="D838" s="188">
        <v>804.02959999999996</v>
      </c>
      <c r="E838" s="188">
        <v>728.20159999999998</v>
      </c>
      <c r="F838" s="188">
        <v>75.828000000000003</v>
      </c>
      <c r="G838" s="188">
        <v>0</v>
      </c>
      <c r="H838" t="s">
        <v>2164</v>
      </c>
      <c r="I838" t="s">
        <v>2366</v>
      </c>
    </row>
    <row r="839" spans="1:9" ht="15">
      <c r="A839" s="186" t="s">
        <v>1832</v>
      </c>
      <c r="B839" s="188">
        <v>1079.8399999999999</v>
      </c>
      <c r="C839" s="188">
        <v>0</v>
      </c>
      <c r="D839" s="188">
        <v>0</v>
      </c>
      <c r="E839" s="188">
        <v>1079.8399999999999</v>
      </c>
      <c r="F839" s="188">
        <v>0</v>
      </c>
      <c r="G839" s="188">
        <v>0</v>
      </c>
      <c r="H839"/>
      <c r="I839"/>
    </row>
    <row r="840" spans="1:9" ht="15">
      <c r="A840" s="186" t="s">
        <v>1833</v>
      </c>
      <c r="B840" s="188">
        <v>2077.6</v>
      </c>
      <c r="C840" s="188">
        <v>0</v>
      </c>
      <c r="D840" s="188">
        <v>28191.538479999999</v>
      </c>
      <c r="E840" s="188">
        <v>27423.750479999999</v>
      </c>
      <c r="F840" s="188">
        <v>2845.3879999999999</v>
      </c>
      <c r="G840" s="188">
        <v>0</v>
      </c>
      <c r="H840" t="s">
        <v>2287</v>
      </c>
      <c r="I840" t="s">
        <v>2426</v>
      </c>
    </row>
    <row r="841" spans="1:9" ht="15">
      <c r="A841" s="186" t="s">
        <v>1834</v>
      </c>
      <c r="B841" s="188">
        <v>0</v>
      </c>
      <c r="C841" s="188">
        <v>0</v>
      </c>
      <c r="D841" s="188">
        <v>12073.352000000001</v>
      </c>
      <c r="E841" s="188">
        <v>12073.352000000001</v>
      </c>
      <c r="F841" s="188">
        <v>0</v>
      </c>
      <c r="G841" s="188">
        <v>0</v>
      </c>
      <c r="H841"/>
      <c r="I841"/>
    </row>
    <row r="842" spans="1:9" ht="15">
      <c r="A842" s="186" t="s">
        <v>1835</v>
      </c>
      <c r="B842" s="188">
        <v>0</v>
      </c>
      <c r="C842" s="188">
        <v>0</v>
      </c>
      <c r="D842" s="188">
        <v>4500</v>
      </c>
      <c r="E842" s="188">
        <v>4500</v>
      </c>
      <c r="F842" s="188">
        <v>0</v>
      </c>
      <c r="G842" s="188">
        <v>0</v>
      </c>
      <c r="H842"/>
      <c r="I842"/>
    </row>
    <row r="843" spans="1:9" ht="15">
      <c r="A843" s="186" t="s">
        <v>1836</v>
      </c>
      <c r="B843" s="188">
        <v>0</v>
      </c>
      <c r="C843" s="188">
        <v>0</v>
      </c>
      <c r="D843" s="188">
        <v>463.22</v>
      </c>
      <c r="E843" s="188">
        <v>444.72</v>
      </c>
      <c r="F843" s="188">
        <v>18.5</v>
      </c>
      <c r="G843" s="188">
        <v>0</v>
      </c>
      <c r="H843" t="s">
        <v>2164</v>
      </c>
      <c r="I843" t="s">
        <v>2427</v>
      </c>
    </row>
    <row r="844" spans="1:9" ht="15">
      <c r="A844" s="186" t="s">
        <v>1837</v>
      </c>
      <c r="B844" s="188">
        <v>0</v>
      </c>
      <c r="C844" s="188">
        <v>0</v>
      </c>
      <c r="D844" s="188">
        <v>138</v>
      </c>
      <c r="E844" s="188">
        <v>138</v>
      </c>
      <c r="F844" s="188">
        <v>0</v>
      </c>
      <c r="G844" s="188">
        <v>0</v>
      </c>
      <c r="H844"/>
      <c r="I844"/>
    </row>
    <row r="845" spans="1:9" ht="15">
      <c r="A845" s="186" t="s">
        <v>1838</v>
      </c>
      <c r="B845" s="188">
        <v>0</v>
      </c>
      <c r="C845" s="188">
        <v>0</v>
      </c>
      <c r="D845" s="188">
        <v>7385.2</v>
      </c>
      <c r="E845" s="188">
        <v>7385.2</v>
      </c>
      <c r="F845" s="188">
        <v>0</v>
      </c>
      <c r="G845" s="188">
        <v>0</v>
      </c>
      <c r="H845"/>
      <c r="I845"/>
    </row>
    <row r="846" spans="1:9" ht="15">
      <c r="A846" s="186" t="s">
        <v>1112</v>
      </c>
      <c r="B846" s="188">
        <v>0</v>
      </c>
      <c r="C846" s="188">
        <v>0</v>
      </c>
      <c r="D846" s="188">
        <v>150</v>
      </c>
      <c r="E846" s="188">
        <v>150</v>
      </c>
      <c r="F846" s="188">
        <v>0</v>
      </c>
      <c r="G846" s="188">
        <v>0</v>
      </c>
      <c r="H846"/>
      <c r="I846"/>
    </row>
    <row r="847" spans="1:9" ht="15">
      <c r="A847" s="186" t="s">
        <v>1839</v>
      </c>
      <c r="B847" s="188">
        <v>0</v>
      </c>
      <c r="C847" s="188">
        <v>0</v>
      </c>
      <c r="D847" s="188">
        <v>98.2</v>
      </c>
      <c r="E847" s="188">
        <v>98.2</v>
      </c>
      <c r="F847" s="188">
        <v>0</v>
      </c>
      <c r="G847" s="188">
        <v>0</v>
      </c>
      <c r="H847"/>
      <c r="I847"/>
    </row>
    <row r="848" spans="1:9" ht="15">
      <c r="A848" s="186" t="s">
        <v>1840</v>
      </c>
      <c r="B848" s="188">
        <v>0</v>
      </c>
      <c r="C848" s="188">
        <v>0</v>
      </c>
      <c r="D848" s="188">
        <v>172</v>
      </c>
      <c r="E848" s="188">
        <v>172</v>
      </c>
      <c r="F848" s="188">
        <v>0</v>
      </c>
      <c r="G848" s="188">
        <v>0</v>
      </c>
      <c r="H848"/>
      <c r="I848"/>
    </row>
    <row r="849" spans="1:9" ht="15">
      <c r="A849" s="186" t="s">
        <v>1841</v>
      </c>
      <c r="B849" s="188">
        <v>0</v>
      </c>
      <c r="C849" s="188">
        <v>0</v>
      </c>
      <c r="D849" s="188">
        <v>7851.2474699999993</v>
      </c>
      <c r="E849" s="188">
        <v>7850.7270399999998</v>
      </c>
      <c r="F849" s="188">
        <v>0.52042999999999995</v>
      </c>
      <c r="G849" s="188">
        <v>0</v>
      </c>
      <c r="H849" t="s">
        <v>2164</v>
      </c>
      <c r="I849" t="s">
        <v>2383</v>
      </c>
    </row>
    <row r="850" spans="1:9" ht="15">
      <c r="A850" s="186" t="s">
        <v>1842</v>
      </c>
      <c r="B850" s="188">
        <v>11.345000000000001</v>
      </c>
      <c r="C850" s="188">
        <v>0</v>
      </c>
      <c r="D850" s="188">
        <v>0</v>
      </c>
      <c r="E850" s="188">
        <v>11.345000000000001</v>
      </c>
      <c r="F850" s="188">
        <v>0</v>
      </c>
      <c r="G850" s="188">
        <v>0</v>
      </c>
      <c r="H850"/>
      <c r="I850"/>
    </row>
    <row r="851" spans="1:9" ht="15">
      <c r="A851" s="186" t="s">
        <v>1114</v>
      </c>
      <c r="B851" s="188">
        <v>0</v>
      </c>
      <c r="C851" s="188">
        <v>0</v>
      </c>
      <c r="D851" s="188">
        <v>1501.03296</v>
      </c>
      <c r="E851" s="188">
        <v>1501.03296</v>
      </c>
      <c r="F851" s="188">
        <v>0</v>
      </c>
      <c r="G851" s="188">
        <v>0</v>
      </c>
      <c r="H851"/>
      <c r="I851"/>
    </row>
    <row r="852" spans="1:9" ht="15">
      <c r="A852" s="186" t="s">
        <v>1843</v>
      </c>
      <c r="B852" s="188">
        <v>273</v>
      </c>
      <c r="C852" s="188">
        <v>0</v>
      </c>
      <c r="D852" s="188">
        <v>8870</v>
      </c>
      <c r="E852" s="188">
        <v>9143</v>
      </c>
      <c r="F852" s="188">
        <v>0</v>
      </c>
      <c r="G852" s="188">
        <v>0</v>
      </c>
      <c r="H852"/>
      <c r="I852"/>
    </row>
    <row r="853" spans="1:9" ht="15">
      <c r="A853" s="186" t="s">
        <v>1844</v>
      </c>
      <c r="B853" s="188">
        <v>233.49696</v>
      </c>
      <c r="C853" s="188">
        <v>0</v>
      </c>
      <c r="D853" s="188">
        <v>6313.44</v>
      </c>
      <c r="E853" s="188">
        <v>6294.93696</v>
      </c>
      <c r="F853" s="188">
        <v>252</v>
      </c>
      <c r="G853" s="188">
        <v>0</v>
      </c>
      <c r="H853" t="s">
        <v>2164</v>
      </c>
      <c r="I853" t="s">
        <v>2428</v>
      </c>
    </row>
    <row r="854" spans="1:9" ht="15">
      <c r="A854" s="186" t="s">
        <v>1845</v>
      </c>
      <c r="B854" s="188">
        <v>0</v>
      </c>
      <c r="C854" s="188">
        <v>0</v>
      </c>
      <c r="D854" s="188">
        <v>60</v>
      </c>
      <c r="E854" s="188">
        <v>60</v>
      </c>
      <c r="F854" s="188">
        <v>0</v>
      </c>
      <c r="G854" s="188">
        <v>0</v>
      </c>
      <c r="H854"/>
      <c r="I854"/>
    </row>
    <row r="855" spans="1:9" ht="15">
      <c r="A855" s="186" t="s">
        <v>1846</v>
      </c>
      <c r="B855" s="188">
        <v>2635</v>
      </c>
      <c r="C855" s="188">
        <v>0</v>
      </c>
      <c r="D855" s="188">
        <v>0</v>
      </c>
      <c r="E855" s="188">
        <v>500</v>
      </c>
      <c r="F855" s="188">
        <v>2135</v>
      </c>
      <c r="G855" s="188">
        <v>0</v>
      </c>
      <c r="H855" t="s">
        <v>2164</v>
      </c>
      <c r="I855" t="s">
        <v>2429</v>
      </c>
    </row>
    <row r="856" spans="1:9" ht="15">
      <c r="A856" s="186" t="s">
        <v>1847</v>
      </c>
      <c r="B856" s="188">
        <v>150</v>
      </c>
      <c r="C856" s="188">
        <v>0</v>
      </c>
      <c r="D856" s="188">
        <v>0</v>
      </c>
      <c r="E856" s="188">
        <v>0</v>
      </c>
      <c r="F856" s="188">
        <v>150</v>
      </c>
      <c r="G856" s="188">
        <v>0</v>
      </c>
      <c r="H856" t="s">
        <v>2164</v>
      </c>
      <c r="I856" t="s">
        <v>2430</v>
      </c>
    </row>
    <row r="857" spans="1:9" ht="15">
      <c r="A857" s="186" t="s">
        <v>1848</v>
      </c>
      <c r="B857" s="188">
        <v>0</v>
      </c>
      <c r="C857" s="188">
        <v>0</v>
      </c>
      <c r="D857" s="188">
        <v>190123.04050999999</v>
      </c>
      <c r="E857" s="188">
        <v>190123.04050999999</v>
      </c>
      <c r="F857" s="188">
        <v>0</v>
      </c>
      <c r="G857" s="188">
        <v>0</v>
      </c>
      <c r="H857"/>
      <c r="I857"/>
    </row>
    <row r="858" spans="1:9" ht="15">
      <c r="A858" s="186" t="s">
        <v>1849</v>
      </c>
      <c r="B858" s="188">
        <v>0</v>
      </c>
      <c r="C858" s="188">
        <v>0</v>
      </c>
      <c r="D858" s="188">
        <v>198</v>
      </c>
      <c r="E858" s="188">
        <v>198</v>
      </c>
      <c r="F858" s="188">
        <v>0</v>
      </c>
      <c r="G858" s="188">
        <v>0</v>
      </c>
      <c r="H858"/>
      <c r="I858"/>
    </row>
    <row r="859" spans="1:9" ht="15">
      <c r="A859" s="186" t="s">
        <v>1850</v>
      </c>
      <c r="B859" s="188">
        <v>0</v>
      </c>
      <c r="C859" s="188">
        <v>0</v>
      </c>
      <c r="D859" s="188">
        <v>16.3</v>
      </c>
      <c r="E859" s="188">
        <v>16.3</v>
      </c>
      <c r="F859" s="188">
        <v>0</v>
      </c>
      <c r="G859" s="188">
        <v>0</v>
      </c>
      <c r="H859"/>
      <c r="I859"/>
    </row>
    <row r="860" spans="1:9" ht="15">
      <c r="A860" s="186" t="s">
        <v>1851</v>
      </c>
      <c r="B860" s="188">
        <v>0</v>
      </c>
      <c r="C860" s="188">
        <v>0</v>
      </c>
      <c r="D860" s="188">
        <v>3179.7240000000002</v>
      </c>
      <c r="E860" s="188">
        <v>3179.7240000000002</v>
      </c>
      <c r="F860" s="188">
        <v>0</v>
      </c>
      <c r="G860" s="188">
        <v>0</v>
      </c>
      <c r="H860"/>
      <c r="I860"/>
    </row>
    <row r="861" spans="1:9" ht="15">
      <c r="A861" s="186" t="s">
        <v>1852</v>
      </c>
      <c r="B861" s="188">
        <v>0</v>
      </c>
      <c r="C861" s="188">
        <v>0</v>
      </c>
      <c r="D861" s="188">
        <v>550.04</v>
      </c>
      <c r="E861" s="188">
        <v>550.04</v>
      </c>
      <c r="F861" s="188">
        <v>0</v>
      </c>
      <c r="G861" s="188">
        <v>0</v>
      </c>
      <c r="H861"/>
      <c r="I861"/>
    </row>
    <row r="862" spans="1:9" ht="15">
      <c r="A862" s="186" t="s">
        <v>1853</v>
      </c>
      <c r="B862" s="188">
        <v>0</v>
      </c>
      <c r="C862" s="188">
        <v>0</v>
      </c>
      <c r="D862" s="188">
        <v>193.69</v>
      </c>
      <c r="E862" s="188">
        <v>193.69</v>
      </c>
      <c r="F862" s="188">
        <v>0</v>
      </c>
      <c r="G862" s="188">
        <v>0</v>
      </c>
      <c r="H862"/>
      <c r="I862"/>
    </row>
    <row r="863" spans="1:9" ht="15">
      <c r="A863" s="186" t="s">
        <v>1854</v>
      </c>
      <c r="B863" s="188">
        <v>90</v>
      </c>
      <c r="C863" s="188">
        <v>0</v>
      </c>
      <c r="D863" s="188">
        <v>0</v>
      </c>
      <c r="E863" s="188">
        <v>0</v>
      </c>
      <c r="F863" s="188">
        <v>90</v>
      </c>
      <c r="G863" s="188">
        <v>0</v>
      </c>
      <c r="H863" t="s">
        <v>2288</v>
      </c>
      <c r="I863" t="s">
        <v>2378</v>
      </c>
    </row>
    <row r="864" spans="1:9" ht="15">
      <c r="A864" s="186" t="s">
        <v>1855</v>
      </c>
      <c r="B864" s="188">
        <v>0</v>
      </c>
      <c r="C864" s="188">
        <v>0</v>
      </c>
      <c r="D864" s="188">
        <v>101</v>
      </c>
      <c r="E864" s="188">
        <v>97</v>
      </c>
      <c r="F864" s="188">
        <v>4</v>
      </c>
      <c r="G864" s="188">
        <v>0</v>
      </c>
      <c r="H864" t="s">
        <v>2164</v>
      </c>
      <c r="I864" t="s">
        <v>2431</v>
      </c>
    </row>
    <row r="865" spans="1:9" ht="15">
      <c r="A865" s="186" t="s">
        <v>1856</v>
      </c>
      <c r="B865" s="188">
        <v>0</v>
      </c>
      <c r="C865" s="188">
        <v>0</v>
      </c>
      <c r="D865" s="188">
        <v>200.67</v>
      </c>
      <c r="E865" s="188">
        <v>200.67</v>
      </c>
      <c r="F865" s="188">
        <v>0</v>
      </c>
      <c r="G865" s="188">
        <v>0</v>
      </c>
      <c r="H865"/>
      <c r="I865"/>
    </row>
    <row r="866" spans="1:9" ht="15">
      <c r="A866" s="186" t="s">
        <v>1857</v>
      </c>
      <c r="B866" s="188">
        <v>7.1999999999999994E-4</v>
      </c>
      <c r="C866" s="188">
        <v>0</v>
      </c>
      <c r="D866" s="188">
        <v>7270.5349999999999</v>
      </c>
      <c r="E866" s="188">
        <v>7270.5357199999999</v>
      </c>
      <c r="F866" s="188">
        <v>0</v>
      </c>
      <c r="G866" s="188">
        <v>0</v>
      </c>
      <c r="H866"/>
      <c r="I866"/>
    </row>
    <row r="867" spans="1:9" ht="15">
      <c r="A867" s="186" t="s">
        <v>1858</v>
      </c>
      <c r="B867" s="188">
        <v>0</v>
      </c>
      <c r="C867" s="188">
        <v>0</v>
      </c>
      <c r="D867" s="188">
        <v>4822.3950000000004</v>
      </c>
      <c r="E867" s="188">
        <v>4822.3950000000004</v>
      </c>
      <c r="F867" s="188">
        <v>0</v>
      </c>
      <c r="G867" s="188">
        <v>0</v>
      </c>
      <c r="H867"/>
      <c r="I867"/>
    </row>
    <row r="868" spans="1:9" ht="15">
      <c r="A868" s="186" t="s">
        <v>1859</v>
      </c>
      <c r="B868" s="188">
        <v>7250</v>
      </c>
      <c r="C868" s="188">
        <v>0</v>
      </c>
      <c r="D868" s="188">
        <v>7250</v>
      </c>
      <c r="E868" s="188">
        <v>14500</v>
      </c>
      <c r="F868" s="188">
        <v>0</v>
      </c>
      <c r="G868" s="188">
        <v>0</v>
      </c>
      <c r="H868"/>
      <c r="I868"/>
    </row>
    <row r="869" spans="1:9" ht="15">
      <c r="A869" s="186" t="s">
        <v>1860</v>
      </c>
      <c r="B869" s="188">
        <v>523.75631999999996</v>
      </c>
      <c r="C869" s="188">
        <v>0</v>
      </c>
      <c r="D869" s="188">
        <v>5479.3974200000002</v>
      </c>
      <c r="E869" s="188">
        <v>5502.8780999999999</v>
      </c>
      <c r="F869" s="188">
        <v>500.27564000000001</v>
      </c>
      <c r="G869" s="188">
        <v>0</v>
      </c>
      <c r="H869" t="s">
        <v>2118</v>
      </c>
      <c r="I869"/>
    </row>
    <row r="870" spans="1:9" ht="15">
      <c r="A870" s="186" t="s">
        <v>1861</v>
      </c>
      <c r="B870" s="188">
        <v>0</v>
      </c>
      <c r="C870" s="188">
        <v>0</v>
      </c>
      <c r="D870" s="188">
        <v>2099.6999999999998</v>
      </c>
      <c r="E870" s="188">
        <v>2099.6999999999998</v>
      </c>
      <c r="F870" s="188">
        <v>0</v>
      </c>
      <c r="G870" s="188">
        <v>0</v>
      </c>
      <c r="H870"/>
      <c r="I870"/>
    </row>
    <row r="871" spans="1:9" ht="15">
      <c r="A871" s="186" t="s">
        <v>1862</v>
      </c>
      <c r="B871" s="188">
        <v>0</v>
      </c>
      <c r="C871" s="188">
        <v>0</v>
      </c>
      <c r="D871" s="188">
        <v>781.93</v>
      </c>
      <c r="E871" s="188">
        <v>781.93</v>
      </c>
      <c r="F871" s="188">
        <v>0</v>
      </c>
      <c r="G871" s="188">
        <v>0</v>
      </c>
      <c r="H871"/>
      <c r="I871"/>
    </row>
    <row r="872" spans="1:9" ht="15">
      <c r="A872" s="186" t="s">
        <v>1863</v>
      </c>
      <c r="B872" s="188">
        <v>7.0000000000000007E-5</v>
      </c>
      <c r="C872" s="188">
        <v>0</v>
      </c>
      <c r="D872" s="188">
        <v>0</v>
      </c>
      <c r="E872" s="188">
        <v>7.0000000000000007E-5</v>
      </c>
      <c r="F872" s="188">
        <v>0</v>
      </c>
      <c r="G872" s="188">
        <v>0</v>
      </c>
      <c r="H872"/>
      <c r="I872"/>
    </row>
    <row r="873" spans="1:9" ht="15">
      <c r="A873" s="186" t="s">
        <v>1864</v>
      </c>
      <c r="B873" s="188">
        <v>0</v>
      </c>
      <c r="C873" s="188">
        <v>0</v>
      </c>
      <c r="D873" s="188">
        <v>1943.91</v>
      </c>
      <c r="E873" s="188">
        <v>1943.91</v>
      </c>
      <c r="F873" s="188">
        <v>0</v>
      </c>
      <c r="G873" s="188">
        <v>0</v>
      </c>
      <c r="H873"/>
      <c r="I873"/>
    </row>
    <row r="874" spans="1:9" ht="15">
      <c r="A874" s="186" t="s">
        <v>1865</v>
      </c>
      <c r="B874" s="188">
        <v>0</v>
      </c>
      <c r="C874" s="188">
        <v>0</v>
      </c>
      <c r="D874" s="188">
        <v>11235.16562</v>
      </c>
      <c r="E874" s="188">
        <v>11235.16562</v>
      </c>
      <c r="F874" s="188">
        <v>0</v>
      </c>
      <c r="G874" s="188">
        <v>0</v>
      </c>
      <c r="H874"/>
      <c r="I874"/>
    </row>
    <row r="875" spans="1:9" ht="15">
      <c r="A875" s="186" t="s">
        <v>1866</v>
      </c>
      <c r="B875" s="188">
        <v>0</v>
      </c>
      <c r="C875" s="188">
        <v>0</v>
      </c>
      <c r="D875" s="188">
        <v>14105.457199999999</v>
      </c>
      <c r="E875" s="188">
        <v>14105.457199999999</v>
      </c>
      <c r="F875" s="188">
        <v>0</v>
      </c>
      <c r="G875" s="188">
        <v>0</v>
      </c>
      <c r="H875"/>
      <c r="I875"/>
    </row>
    <row r="876" spans="1:9" ht="15">
      <c r="A876" s="186" t="s">
        <v>1867</v>
      </c>
      <c r="B876" s="188">
        <v>0</v>
      </c>
      <c r="C876" s="188">
        <v>0</v>
      </c>
      <c r="D876" s="188">
        <v>210</v>
      </c>
      <c r="E876" s="188">
        <v>210</v>
      </c>
      <c r="F876" s="188">
        <v>0</v>
      </c>
      <c r="G876" s="188">
        <v>0</v>
      </c>
      <c r="H876"/>
      <c r="I876"/>
    </row>
    <row r="877" spans="1:9" ht="15">
      <c r="A877" s="186" t="s">
        <v>1868</v>
      </c>
      <c r="B877" s="188">
        <v>0</v>
      </c>
      <c r="C877" s="188">
        <v>0</v>
      </c>
      <c r="D877" s="188">
        <v>839.55604000000005</v>
      </c>
      <c r="E877" s="188">
        <v>839.55604000000005</v>
      </c>
      <c r="F877" s="188">
        <v>0</v>
      </c>
      <c r="G877" s="188">
        <v>0</v>
      </c>
      <c r="H877"/>
      <c r="I877"/>
    </row>
    <row r="878" spans="1:9" ht="15">
      <c r="A878" s="186" t="s">
        <v>1869</v>
      </c>
      <c r="B878" s="188">
        <v>0</v>
      </c>
      <c r="C878" s="188">
        <v>0</v>
      </c>
      <c r="D878" s="188">
        <v>1076.09376</v>
      </c>
      <c r="E878" s="188">
        <v>1076.09376</v>
      </c>
      <c r="F878" s="188">
        <v>0</v>
      </c>
      <c r="G878" s="188">
        <v>0</v>
      </c>
      <c r="H878"/>
      <c r="I878"/>
    </row>
    <row r="879" spans="1:9" ht="15">
      <c r="A879" s="186" t="s">
        <v>1870</v>
      </c>
      <c r="B879" s="188">
        <v>0</v>
      </c>
      <c r="C879" s="188">
        <v>0</v>
      </c>
      <c r="D879" s="188">
        <v>7741.5844800000004</v>
      </c>
      <c r="E879" s="188">
        <v>7741.5844800000004</v>
      </c>
      <c r="F879" s="188">
        <v>0</v>
      </c>
      <c r="G879" s="188">
        <v>0</v>
      </c>
      <c r="H879"/>
      <c r="I879"/>
    </row>
    <row r="880" spans="1:9" ht="15">
      <c r="A880" s="186" t="s">
        <v>1871</v>
      </c>
      <c r="B880" s="188">
        <v>0</v>
      </c>
      <c r="C880" s="188">
        <v>0</v>
      </c>
      <c r="D880" s="188">
        <v>4720.4355099999993</v>
      </c>
      <c r="E880" s="188">
        <v>4720.4355099999993</v>
      </c>
      <c r="F880" s="188">
        <v>0</v>
      </c>
      <c r="G880" s="188">
        <v>0</v>
      </c>
      <c r="H880"/>
      <c r="I880"/>
    </row>
    <row r="881" spans="1:9" ht="15">
      <c r="A881" s="186" t="s">
        <v>1872</v>
      </c>
      <c r="B881" s="188">
        <v>0</v>
      </c>
      <c r="C881" s="188">
        <v>0</v>
      </c>
      <c r="D881" s="188">
        <v>4337.1049999999996</v>
      </c>
      <c r="E881" s="188">
        <v>4337.1049999999996</v>
      </c>
      <c r="F881" s="188">
        <v>0</v>
      </c>
      <c r="G881" s="188">
        <v>0</v>
      </c>
      <c r="H881"/>
      <c r="I881"/>
    </row>
    <row r="882" spans="1:9" ht="15">
      <c r="A882" s="186" t="s">
        <v>1873</v>
      </c>
      <c r="B882" s="188">
        <v>0</v>
      </c>
      <c r="C882" s="188">
        <v>0</v>
      </c>
      <c r="D882" s="188">
        <v>160</v>
      </c>
      <c r="E882" s="188">
        <v>160</v>
      </c>
      <c r="F882" s="188">
        <v>0</v>
      </c>
      <c r="G882" s="188">
        <v>0</v>
      </c>
      <c r="H882"/>
      <c r="I882"/>
    </row>
    <row r="883" spans="1:9" ht="15">
      <c r="A883" s="186" t="s">
        <v>1874</v>
      </c>
      <c r="B883" s="188">
        <v>0</v>
      </c>
      <c r="C883" s="188">
        <v>0</v>
      </c>
      <c r="D883" s="188">
        <v>4168.6530000000002</v>
      </c>
      <c r="E883" s="188">
        <v>4168.6530000000002</v>
      </c>
      <c r="F883" s="188">
        <v>0</v>
      </c>
      <c r="G883" s="188">
        <v>0</v>
      </c>
      <c r="H883"/>
      <c r="I883"/>
    </row>
    <row r="884" spans="1:9" ht="15">
      <c r="A884" s="186" t="s">
        <v>1875</v>
      </c>
      <c r="B884" s="188">
        <v>0</v>
      </c>
      <c r="C884" s="188">
        <v>0</v>
      </c>
      <c r="D884" s="188">
        <v>200</v>
      </c>
      <c r="E884" s="188">
        <v>0</v>
      </c>
      <c r="F884" s="188">
        <v>200</v>
      </c>
      <c r="G884" s="188">
        <v>0</v>
      </c>
      <c r="H884" t="s">
        <v>2164</v>
      </c>
      <c r="I884" t="s">
        <v>2432</v>
      </c>
    </row>
    <row r="885" spans="1:9" ht="15">
      <c r="A885" s="186" t="s">
        <v>1876</v>
      </c>
      <c r="B885" s="188">
        <v>0</v>
      </c>
      <c r="C885" s="188">
        <v>0</v>
      </c>
      <c r="D885" s="188">
        <v>24</v>
      </c>
      <c r="E885" s="188">
        <v>24</v>
      </c>
      <c r="F885" s="188">
        <v>0</v>
      </c>
      <c r="G885" s="188">
        <v>0</v>
      </c>
      <c r="H885"/>
      <c r="I885"/>
    </row>
    <row r="886" spans="1:9" ht="15">
      <c r="A886" s="186" t="s">
        <v>1877</v>
      </c>
      <c r="B886" s="188">
        <v>0</v>
      </c>
      <c r="C886" s="188">
        <v>0</v>
      </c>
      <c r="D886" s="188">
        <v>16.826090000000001</v>
      </c>
      <c r="E886" s="188">
        <v>16.826090000000001</v>
      </c>
      <c r="F886" s="188">
        <v>0</v>
      </c>
      <c r="G886" s="188">
        <v>0</v>
      </c>
      <c r="H886"/>
      <c r="I886"/>
    </row>
    <row r="887" spans="1:9" ht="15">
      <c r="A887" s="186" t="s">
        <v>1878</v>
      </c>
      <c r="B887" s="188">
        <v>0</v>
      </c>
      <c r="C887" s="188">
        <v>0</v>
      </c>
      <c r="D887" s="188">
        <v>939.54130000000009</v>
      </c>
      <c r="E887" s="188">
        <v>939.54130000000009</v>
      </c>
      <c r="F887" s="188">
        <v>0</v>
      </c>
      <c r="G887" s="188">
        <v>0</v>
      </c>
      <c r="H887"/>
      <c r="I887"/>
    </row>
    <row r="888" spans="1:9" ht="15">
      <c r="A888" s="186" t="s">
        <v>1879</v>
      </c>
      <c r="B888" s="188">
        <v>0</v>
      </c>
      <c r="C888" s="188">
        <v>0</v>
      </c>
      <c r="D888" s="188">
        <v>1321.1497300000001</v>
      </c>
      <c r="E888" s="188">
        <v>1321.1497300000001</v>
      </c>
      <c r="F888" s="188">
        <v>0</v>
      </c>
      <c r="G888" s="188">
        <v>0</v>
      </c>
      <c r="H888"/>
      <c r="I888"/>
    </row>
    <row r="889" spans="1:9" ht="15">
      <c r="A889" s="186" t="s">
        <v>1880</v>
      </c>
      <c r="B889" s="188">
        <v>0</v>
      </c>
      <c r="C889" s="188">
        <v>0</v>
      </c>
      <c r="D889" s="188">
        <v>431.24</v>
      </c>
      <c r="E889" s="188">
        <v>431.24</v>
      </c>
      <c r="F889" s="188">
        <v>0</v>
      </c>
      <c r="G889" s="188">
        <v>0</v>
      </c>
      <c r="H889"/>
      <c r="I889"/>
    </row>
    <row r="890" spans="1:9" ht="15">
      <c r="A890" s="186" t="s">
        <v>1881</v>
      </c>
      <c r="B890" s="188">
        <v>1400.01343</v>
      </c>
      <c r="C890" s="188">
        <v>0</v>
      </c>
      <c r="D890" s="188">
        <v>12634.11189</v>
      </c>
      <c r="E890" s="188">
        <v>14034.11189</v>
      </c>
      <c r="F890" s="188">
        <v>1.3429999999999999E-2</v>
      </c>
      <c r="G890" s="188">
        <v>0</v>
      </c>
      <c r="H890"/>
      <c r="I890"/>
    </row>
    <row r="891" spans="1:9" ht="15">
      <c r="A891" s="186" t="s">
        <v>1122</v>
      </c>
      <c r="B891" s="188">
        <v>0</v>
      </c>
      <c r="C891" s="188">
        <v>0</v>
      </c>
      <c r="D891" s="188">
        <v>24055.157999999999</v>
      </c>
      <c r="E891" s="188">
        <v>24055.157999999999</v>
      </c>
      <c r="F891" s="188">
        <v>0</v>
      </c>
      <c r="G891" s="188">
        <v>0</v>
      </c>
      <c r="H891"/>
      <c r="I891"/>
    </row>
    <row r="892" spans="1:9" ht="15">
      <c r="A892" s="186" t="s">
        <v>1882</v>
      </c>
      <c r="B892" s="188">
        <v>0</v>
      </c>
      <c r="C892" s="188">
        <v>0</v>
      </c>
      <c r="D892" s="188">
        <v>6.0119999999999996</v>
      </c>
      <c r="E892" s="188">
        <v>6.0119999999999996</v>
      </c>
      <c r="F892" s="188">
        <v>0</v>
      </c>
      <c r="G892" s="188">
        <v>0</v>
      </c>
      <c r="H892"/>
      <c r="I892"/>
    </row>
    <row r="893" spans="1:9" ht="15">
      <c r="A893" s="186" t="s">
        <v>1883</v>
      </c>
      <c r="B893" s="188">
        <v>0</v>
      </c>
      <c r="C893" s="188">
        <v>0</v>
      </c>
      <c r="D893" s="188">
        <v>52729.283880000003</v>
      </c>
      <c r="E893" s="188">
        <v>52040.153880000005</v>
      </c>
      <c r="F893" s="188">
        <v>689.13</v>
      </c>
      <c r="G893" s="188">
        <v>0</v>
      </c>
      <c r="H893" t="s">
        <v>2288</v>
      </c>
      <c r="I893" t="s">
        <v>2433</v>
      </c>
    </row>
    <row r="894" spans="1:9" ht="15">
      <c r="A894" s="186" t="s">
        <v>1884</v>
      </c>
      <c r="B894" s="188">
        <v>380.8</v>
      </c>
      <c r="C894" s="188">
        <v>0</v>
      </c>
      <c r="D894" s="188">
        <v>0</v>
      </c>
      <c r="E894" s="188">
        <v>0</v>
      </c>
      <c r="F894" s="188">
        <v>380.8</v>
      </c>
      <c r="G894" s="188">
        <v>0</v>
      </c>
      <c r="H894" t="s">
        <v>2164</v>
      </c>
      <c r="I894" t="s">
        <v>2388</v>
      </c>
    </row>
    <row r="895" spans="1:9" ht="15">
      <c r="A895" s="186" t="s">
        <v>1885</v>
      </c>
      <c r="B895" s="188">
        <v>0</v>
      </c>
      <c r="C895" s="188">
        <v>0</v>
      </c>
      <c r="D895" s="188">
        <v>46435.133000000002</v>
      </c>
      <c r="E895" s="188">
        <v>46435.133000000002</v>
      </c>
      <c r="F895" s="188">
        <v>0</v>
      </c>
      <c r="G895" s="188">
        <v>0</v>
      </c>
      <c r="H895" t="s">
        <v>2434</v>
      </c>
      <c r="I895"/>
    </row>
    <row r="896" spans="1:9" ht="15">
      <c r="A896" s="186" t="s">
        <v>1886</v>
      </c>
      <c r="B896" s="188">
        <v>1413.28</v>
      </c>
      <c r="C896" s="188">
        <v>0</v>
      </c>
      <c r="D896" s="188">
        <v>18042.590539999997</v>
      </c>
      <c r="E896" s="188">
        <v>19455.87054</v>
      </c>
      <c r="F896" s="188">
        <v>0</v>
      </c>
      <c r="G896" s="188">
        <v>0</v>
      </c>
      <c r="H896" t="s">
        <v>2287</v>
      </c>
      <c r="I896"/>
    </row>
    <row r="897" spans="1:9" ht="15">
      <c r="A897" s="186" t="s">
        <v>1887</v>
      </c>
      <c r="B897" s="188">
        <v>0</v>
      </c>
      <c r="C897" s="188">
        <v>0</v>
      </c>
      <c r="D897" s="188">
        <v>220</v>
      </c>
      <c r="E897" s="188">
        <v>220</v>
      </c>
      <c r="F897" s="188">
        <v>0</v>
      </c>
      <c r="G897" s="188">
        <v>0</v>
      </c>
      <c r="H897" t="s">
        <v>2435</v>
      </c>
      <c r="I897"/>
    </row>
    <row r="898" spans="1:9" ht="15">
      <c r="A898" s="186" t="s">
        <v>1888</v>
      </c>
      <c r="B898" s="188">
        <v>0</v>
      </c>
      <c r="C898" s="188">
        <v>0</v>
      </c>
      <c r="D898" s="188">
        <v>1844.8</v>
      </c>
      <c r="E898" s="188">
        <v>1844.8</v>
      </c>
      <c r="F898" s="188">
        <v>0</v>
      </c>
      <c r="G898" s="188">
        <v>0</v>
      </c>
      <c r="H898" t="s">
        <v>2436</v>
      </c>
      <c r="I898"/>
    </row>
    <row r="899" spans="1:9" ht="15">
      <c r="A899" s="186" t="s">
        <v>1889</v>
      </c>
      <c r="B899" s="188">
        <v>0</v>
      </c>
      <c r="C899" s="188">
        <v>0</v>
      </c>
      <c r="D899" s="188">
        <v>1736</v>
      </c>
      <c r="E899" s="188">
        <v>1736</v>
      </c>
      <c r="F899" s="188">
        <v>0</v>
      </c>
      <c r="G899" s="188">
        <v>0</v>
      </c>
      <c r="H899" t="s">
        <v>2437</v>
      </c>
      <c r="I899"/>
    </row>
    <row r="900" spans="1:9" ht="15">
      <c r="A900" s="186" t="s">
        <v>1890</v>
      </c>
      <c r="B900" s="188">
        <v>665.22</v>
      </c>
      <c r="C900" s="188">
        <v>0</v>
      </c>
      <c r="D900" s="188">
        <v>2692.83</v>
      </c>
      <c r="E900" s="188">
        <v>665.22</v>
      </c>
      <c r="F900" s="188">
        <v>2692.83</v>
      </c>
      <c r="G900" s="188">
        <v>0</v>
      </c>
      <c r="H900" t="s">
        <v>2164</v>
      </c>
      <c r="I900" t="s">
        <v>2304</v>
      </c>
    </row>
    <row r="901" spans="1:9" ht="15">
      <c r="A901" s="186" t="s">
        <v>1891</v>
      </c>
      <c r="B901" s="188">
        <v>0</v>
      </c>
      <c r="C901" s="188">
        <v>0</v>
      </c>
      <c r="D901" s="188">
        <v>24452.313440000002</v>
      </c>
      <c r="E901" s="188">
        <v>24452.313440000002</v>
      </c>
      <c r="F901" s="188">
        <v>0</v>
      </c>
      <c r="G901" s="188">
        <v>0</v>
      </c>
      <c r="H901" t="s">
        <v>2304</v>
      </c>
      <c r="I901"/>
    </row>
    <row r="902" spans="1:9" ht="15">
      <c r="A902" s="186" t="s">
        <v>1892</v>
      </c>
      <c r="B902" s="188">
        <v>0</v>
      </c>
      <c r="C902" s="188">
        <v>0</v>
      </c>
      <c r="D902" s="188">
        <v>5.0999999999999996</v>
      </c>
      <c r="E902" s="188">
        <v>5.0999999999999996</v>
      </c>
      <c r="F902" s="188">
        <v>0</v>
      </c>
      <c r="G902" s="188">
        <v>0</v>
      </c>
      <c r="H902" t="s">
        <v>2365</v>
      </c>
      <c r="I902"/>
    </row>
    <row r="903" spans="1:9" ht="15">
      <c r="A903" s="186" t="s">
        <v>1893</v>
      </c>
      <c r="B903" s="188">
        <v>0</v>
      </c>
      <c r="C903" s="188">
        <v>0</v>
      </c>
      <c r="D903" s="188">
        <v>4920.4584000000004</v>
      </c>
      <c r="E903" s="188">
        <v>4920.4584000000004</v>
      </c>
      <c r="F903" s="188">
        <v>0</v>
      </c>
      <c r="G903" s="188">
        <v>0</v>
      </c>
      <c r="H903" t="s">
        <v>2287</v>
      </c>
      <c r="I903"/>
    </row>
    <row r="904" spans="1:9" ht="15">
      <c r="A904" s="186" t="s">
        <v>1894</v>
      </c>
      <c r="B904" s="188">
        <v>0</v>
      </c>
      <c r="C904" s="188">
        <v>0</v>
      </c>
      <c r="D904" s="188">
        <v>84</v>
      </c>
      <c r="E904" s="188">
        <v>84</v>
      </c>
      <c r="F904" s="188">
        <v>0</v>
      </c>
      <c r="G904" s="188">
        <v>0</v>
      </c>
      <c r="H904" t="s">
        <v>2365</v>
      </c>
      <c r="I904"/>
    </row>
    <row r="907" spans="1:9">
      <c r="E907" s="211">
        <f>200000*380/1000</f>
        <v>76000</v>
      </c>
    </row>
    <row r="910" spans="1:9">
      <c r="A910" s="420" t="s">
        <v>342</v>
      </c>
      <c r="B910" s="986" t="s">
        <v>51</v>
      </c>
      <c r="C910" s="986"/>
      <c r="D910" s="986" t="s">
        <v>52</v>
      </c>
      <c r="E910" s="986"/>
      <c r="F910" s="986" t="s">
        <v>53</v>
      </c>
      <c r="G910" s="986"/>
    </row>
    <row r="911" spans="1:9">
      <c r="A911" s="987" t="s">
        <v>700</v>
      </c>
      <c r="B911" s="960" t="s">
        <v>54</v>
      </c>
      <c r="C911" s="960" t="s">
        <v>55</v>
      </c>
      <c r="D911" s="960" t="s">
        <v>54</v>
      </c>
      <c r="E911" s="960" t="s">
        <v>55</v>
      </c>
      <c r="F911" s="960" t="s">
        <v>54</v>
      </c>
      <c r="G911" s="960" t="s">
        <v>55</v>
      </c>
    </row>
    <row r="912" spans="1:9">
      <c r="A912" s="988"/>
      <c r="B912" s="961"/>
      <c r="C912" s="961"/>
      <c r="D912" s="961"/>
      <c r="E912" s="961"/>
      <c r="F912" s="961"/>
      <c r="G912" s="961"/>
    </row>
    <row r="913" spans="1:12" ht="15">
      <c r="A913" s="421">
        <v>1286</v>
      </c>
      <c r="B913" s="422">
        <v>0</v>
      </c>
      <c r="C913" s="422">
        <v>254844.01041999998</v>
      </c>
      <c r="D913" s="422">
        <v>0</v>
      </c>
      <c r="E913" s="422">
        <v>44057.220729999994</v>
      </c>
      <c r="F913" s="422">
        <v>0</v>
      </c>
      <c r="G913" s="422">
        <v>298901.23114999995</v>
      </c>
      <c r="J913" s="186" t="s">
        <v>1138</v>
      </c>
      <c r="K913" s="5">
        <f t="shared" ref="K913:K924" si="0">VLOOKUP(J913,$A$914:$G$1128,7,0)</f>
        <v>0.01</v>
      </c>
      <c r="L913" s="188">
        <v>0.01</v>
      </c>
    </row>
    <row r="914" spans="1:12" ht="15">
      <c r="A914" s="423" t="s">
        <v>1125</v>
      </c>
      <c r="B914" s="424">
        <v>0</v>
      </c>
      <c r="C914" s="425">
        <v>-1012</v>
      </c>
      <c r="D914" s="424">
        <v>0</v>
      </c>
      <c r="E914" s="424">
        <v>1012</v>
      </c>
      <c r="F914" s="424">
        <v>0</v>
      </c>
      <c r="G914" s="424">
        <v>0</v>
      </c>
      <c r="J914" s="186" t="s">
        <v>1157</v>
      </c>
      <c r="K914" s="5">
        <f t="shared" si="0"/>
        <v>1213.8</v>
      </c>
      <c r="L914" s="188">
        <v>1213.8</v>
      </c>
    </row>
    <row r="915" spans="1:12" ht="15">
      <c r="A915" s="423" t="s">
        <v>1135</v>
      </c>
      <c r="B915" s="424">
        <v>0</v>
      </c>
      <c r="C915" s="424">
        <v>147.5</v>
      </c>
      <c r="D915" s="424">
        <v>0</v>
      </c>
      <c r="E915" s="424">
        <v>147.5</v>
      </c>
      <c r="F915" s="424">
        <v>0</v>
      </c>
      <c r="G915" s="424">
        <v>295</v>
      </c>
      <c r="J915" s="186" t="s">
        <v>773</v>
      </c>
      <c r="K915" s="5">
        <f t="shared" si="0"/>
        <v>109.2771</v>
      </c>
      <c r="L915" s="188">
        <v>530.60840000000007</v>
      </c>
    </row>
    <row r="916" spans="1:12" ht="15">
      <c r="A916" s="423" t="s">
        <v>1138</v>
      </c>
      <c r="B916" s="424">
        <v>0</v>
      </c>
      <c r="C916" s="424">
        <v>0.01</v>
      </c>
      <c r="D916" s="424">
        <v>0</v>
      </c>
      <c r="E916" s="424">
        <v>0</v>
      </c>
      <c r="F916" s="424">
        <v>0</v>
      </c>
      <c r="G916" s="424">
        <v>0.01</v>
      </c>
      <c r="J916" s="186" t="s">
        <v>1220</v>
      </c>
      <c r="K916" s="5">
        <f t="shared" si="0"/>
        <v>405</v>
      </c>
      <c r="L916" s="188">
        <v>405</v>
      </c>
    </row>
    <row r="917" spans="1:12" ht="15">
      <c r="A917" s="423" t="s">
        <v>1139</v>
      </c>
      <c r="B917" s="424">
        <v>0</v>
      </c>
      <c r="C917" s="424">
        <v>0</v>
      </c>
      <c r="D917" s="424">
        <v>0</v>
      </c>
      <c r="E917" s="424">
        <v>702.07</v>
      </c>
      <c r="F917" s="424">
        <v>0</v>
      </c>
      <c r="G917" s="424">
        <v>702.07</v>
      </c>
      <c r="J917" s="186" t="s">
        <v>1231</v>
      </c>
      <c r="K917" s="5">
        <f t="shared" si="0"/>
        <v>0</v>
      </c>
      <c r="L917" s="188">
        <v>2937.16752</v>
      </c>
    </row>
    <row r="918" spans="1:12" ht="15">
      <c r="A918" s="423" t="s">
        <v>1147</v>
      </c>
      <c r="B918" s="424">
        <v>0</v>
      </c>
      <c r="C918" s="424">
        <v>0</v>
      </c>
      <c r="D918" s="424">
        <v>0</v>
      </c>
      <c r="E918" s="424">
        <v>2</v>
      </c>
      <c r="F918" s="424">
        <v>0</v>
      </c>
      <c r="G918" s="424">
        <v>2</v>
      </c>
      <c r="J918" s="186" t="s">
        <v>1245</v>
      </c>
      <c r="K918" s="5">
        <f t="shared" si="0"/>
        <v>3.0000000000000001E-3</v>
      </c>
      <c r="L918" s="188">
        <v>3.0000000000000001E-3</v>
      </c>
    </row>
    <row r="919" spans="1:12" ht="15">
      <c r="A919" s="423" t="s">
        <v>1148</v>
      </c>
      <c r="B919" s="424">
        <v>0</v>
      </c>
      <c r="C919" s="424">
        <v>0</v>
      </c>
      <c r="D919" s="424">
        <v>0</v>
      </c>
      <c r="E919" s="424">
        <v>22.286999999999999</v>
      </c>
      <c r="F919" s="424">
        <v>0</v>
      </c>
      <c r="G919" s="424">
        <v>22.286999999999999</v>
      </c>
      <c r="J919" s="186" t="s">
        <v>1271</v>
      </c>
      <c r="K919" s="5">
        <f t="shared" si="0"/>
        <v>393.75</v>
      </c>
      <c r="L919" s="188">
        <v>787.5</v>
      </c>
    </row>
    <row r="920" spans="1:12" ht="15">
      <c r="A920" s="423" t="s">
        <v>1149</v>
      </c>
      <c r="B920" s="424">
        <v>0</v>
      </c>
      <c r="C920" s="424">
        <v>0</v>
      </c>
      <c r="D920" s="424">
        <v>0</v>
      </c>
      <c r="E920" s="424">
        <v>977.88095999999996</v>
      </c>
      <c r="F920" s="424">
        <v>0</v>
      </c>
      <c r="G920" s="424">
        <v>977.88095999999996</v>
      </c>
      <c r="J920" s="186" t="s">
        <v>1274</v>
      </c>
      <c r="K920" s="5">
        <f t="shared" si="0"/>
        <v>295.02499999999998</v>
      </c>
      <c r="L920" s="188">
        <v>295.02499999999998</v>
      </c>
    </row>
    <row r="921" spans="1:12" ht="15">
      <c r="A921" s="423" t="s">
        <v>1150</v>
      </c>
      <c r="B921" s="424">
        <v>0</v>
      </c>
      <c r="C921" s="424">
        <v>104.0615</v>
      </c>
      <c r="D921" s="424">
        <v>0</v>
      </c>
      <c r="E921" s="425">
        <v>-104.0615</v>
      </c>
      <c r="F921" s="424">
        <v>0</v>
      </c>
      <c r="G921" s="424">
        <v>0</v>
      </c>
      <c r="J921" s="186" t="s">
        <v>1302</v>
      </c>
      <c r="K921" s="5">
        <f t="shared" si="0"/>
        <v>3600</v>
      </c>
      <c r="L921" s="188">
        <v>3600</v>
      </c>
    </row>
    <row r="922" spans="1:12" ht="15">
      <c r="A922" s="423" t="s">
        <v>1157</v>
      </c>
      <c r="B922" s="424">
        <v>0</v>
      </c>
      <c r="C922" s="424">
        <v>303.45</v>
      </c>
      <c r="D922" s="424">
        <v>0</v>
      </c>
      <c r="E922" s="424">
        <v>910.35</v>
      </c>
      <c r="F922" s="424">
        <v>0</v>
      </c>
      <c r="G922" s="424">
        <v>1213.8</v>
      </c>
      <c r="J922" s="186" t="s">
        <v>1343</v>
      </c>
      <c r="K922" s="5">
        <f t="shared" si="0"/>
        <v>4.6900000000000006E-3</v>
      </c>
      <c r="L922" s="188">
        <v>4.6900000000000006E-3</v>
      </c>
    </row>
    <row r="923" spans="1:12" ht="15">
      <c r="A923" s="423" t="s">
        <v>1162</v>
      </c>
      <c r="B923" s="424">
        <v>0</v>
      </c>
      <c r="C923" s="424">
        <v>0</v>
      </c>
      <c r="D923" s="424">
        <v>0</v>
      </c>
      <c r="E923" s="424">
        <v>66.442499999999995</v>
      </c>
      <c r="F923" s="424">
        <v>0</v>
      </c>
      <c r="G923" s="424">
        <v>66.442499999999995</v>
      </c>
      <c r="J923" s="186" t="s">
        <v>1355</v>
      </c>
      <c r="K923" s="5">
        <f t="shared" si="0"/>
        <v>2005.5</v>
      </c>
      <c r="L923" s="188">
        <v>2005.5</v>
      </c>
    </row>
    <row r="924" spans="1:12" ht="15">
      <c r="A924" s="423" t="s">
        <v>1169</v>
      </c>
      <c r="B924" s="424">
        <v>0</v>
      </c>
      <c r="C924" s="424">
        <v>0</v>
      </c>
      <c r="D924" s="424">
        <v>0</v>
      </c>
      <c r="E924" s="424">
        <v>122.25</v>
      </c>
      <c r="F924" s="424">
        <v>0</v>
      </c>
      <c r="G924" s="424">
        <v>122.25</v>
      </c>
      <c r="J924" s="186" t="s">
        <v>1426</v>
      </c>
      <c r="K924" s="5">
        <f t="shared" si="0"/>
        <v>4.0000000000000001E-3</v>
      </c>
      <c r="L924" s="188">
        <v>4.0000000000000001E-3</v>
      </c>
    </row>
    <row r="925" spans="1:12" ht="15">
      <c r="A925" s="423" t="s">
        <v>1175</v>
      </c>
      <c r="B925" s="424">
        <v>0</v>
      </c>
      <c r="C925" s="424">
        <v>343.7</v>
      </c>
      <c r="D925" s="424">
        <v>0</v>
      </c>
      <c r="E925" s="425">
        <v>-343.7</v>
      </c>
      <c r="F925" s="424">
        <v>0</v>
      </c>
      <c r="G925" s="424">
        <v>0</v>
      </c>
      <c r="J925" s="186" t="s">
        <v>1471</v>
      </c>
      <c r="K925" s="5">
        <f t="shared" ref="K925:K930" si="1">VLOOKUP(J925,$A$914:$G$1128,7,0)</f>
        <v>811.3</v>
      </c>
      <c r="L925" s="188">
        <v>811.3</v>
      </c>
    </row>
    <row r="926" spans="1:12" ht="15">
      <c r="A926" s="423" t="s">
        <v>1176</v>
      </c>
      <c r="B926" s="424">
        <v>0</v>
      </c>
      <c r="C926" s="424">
        <v>50.46</v>
      </c>
      <c r="D926" s="424">
        <v>0</v>
      </c>
      <c r="E926" s="424">
        <v>0</v>
      </c>
      <c r="F926" s="424">
        <v>0</v>
      </c>
      <c r="G926" s="424">
        <v>50.46</v>
      </c>
      <c r="J926" s="186" t="s">
        <v>1497</v>
      </c>
      <c r="K926" s="5">
        <f t="shared" si="1"/>
        <v>2.0000000000000002E-5</v>
      </c>
      <c r="L926" s="188">
        <v>2.0000000000000002E-5</v>
      </c>
    </row>
    <row r="927" spans="1:12" ht="15">
      <c r="A927" s="423" t="s">
        <v>773</v>
      </c>
      <c r="B927" s="424">
        <v>0</v>
      </c>
      <c r="C927" s="424">
        <v>90.902100000000004</v>
      </c>
      <c r="D927" s="424">
        <v>0</v>
      </c>
      <c r="E927" s="424">
        <v>18.375</v>
      </c>
      <c r="F927" s="424">
        <v>0</v>
      </c>
      <c r="G927" s="424">
        <v>109.2771</v>
      </c>
      <c r="J927" s="186" t="s">
        <v>1654</v>
      </c>
      <c r="K927" s="5">
        <f t="shared" si="1"/>
        <v>1242.6024</v>
      </c>
      <c r="L927" s="188">
        <v>1242.6024</v>
      </c>
    </row>
    <row r="928" spans="1:12" ht="15">
      <c r="A928" s="423" t="s">
        <v>1179</v>
      </c>
      <c r="B928" s="424">
        <v>0</v>
      </c>
      <c r="C928" s="424">
        <v>0</v>
      </c>
      <c r="D928" s="424">
        <v>0</v>
      </c>
      <c r="E928" s="424">
        <v>311.87746999999996</v>
      </c>
      <c r="F928" s="424">
        <v>0</v>
      </c>
      <c r="G928" s="424">
        <v>311.87746999999996</v>
      </c>
      <c r="J928" s="186" t="s">
        <v>1703</v>
      </c>
      <c r="K928" s="5">
        <v>0</v>
      </c>
      <c r="L928" s="197">
        <v>20000</v>
      </c>
    </row>
    <row r="929" spans="1:12" ht="15">
      <c r="A929" s="423" t="s">
        <v>1180</v>
      </c>
      <c r="B929" s="424">
        <v>0</v>
      </c>
      <c r="C929" s="424">
        <v>169.5</v>
      </c>
      <c r="D929" s="424">
        <v>0</v>
      </c>
      <c r="E929" s="424">
        <v>0</v>
      </c>
      <c r="F929" s="424">
        <v>0</v>
      </c>
      <c r="G929" s="424">
        <v>169.5</v>
      </c>
      <c r="J929" s="186" t="s">
        <v>1833</v>
      </c>
      <c r="K929" s="5">
        <f t="shared" si="1"/>
        <v>2072.5880000000002</v>
      </c>
      <c r="L929" s="188">
        <v>2845.3879999999999</v>
      </c>
    </row>
    <row r="930" spans="1:12" ht="15">
      <c r="A930" s="423" t="s">
        <v>1183</v>
      </c>
      <c r="B930" s="424">
        <v>0</v>
      </c>
      <c r="C930" s="424">
        <v>100.59411</v>
      </c>
      <c r="D930" s="424">
        <v>0</v>
      </c>
      <c r="E930" s="424">
        <v>15.010549999999999</v>
      </c>
      <c r="F930" s="424">
        <v>0</v>
      </c>
      <c r="G930" s="424">
        <v>115.60466000000001</v>
      </c>
      <c r="J930" s="186" t="s">
        <v>1881</v>
      </c>
      <c r="K930" s="5">
        <f t="shared" si="1"/>
        <v>1.3429999999999999E-2</v>
      </c>
      <c r="L930" s="188">
        <v>1.3429999999999999E-2</v>
      </c>
    </row>
    <row r="931" spans="1:12" ht="13.5" thickBot="1">
      <c r="A931" s="423" t="s">
        <v>1184</v>
      </c>
      <c r="B931" s="424">
        <v>0</v>
      </c>
      <c r="C931" s="424">
        <v>0</v>
      </c>
      <c r="D931" s="424">
        <v>0</v>
      </c>
      <c r="E931" s="424">
        <v>3.4968000000000004</v>
      </c>
      <c r="F931" s="424">
        <v>0</v>
      </c>
      <c r="G931" s="424">
        <v>3.4968000000000004</v>
      </c>
      <c r="K931" s="426">
        <f>SUBTOTAL(9,K913:K930)</f>
        <v>12148.877639999999</v>
      </c>
      <c r="L931" s="291"/>
    </row>
    <row r="932" spans="1:12" ht="13.5" thickTop="1">
      <c r="A932" s="423" t="s">
        <v>1191</v>
      </c>
      <c r="B932" s="424">
        <v>0</v>
      </c>
      <c r="C932" s="424">
        <v>148.875</v>
      </c>
      <c r="D932" s="424">
        <v>0</v>
      </c>
      <c r="E932" s="425">
        <v>-148.875</v>
      </c>
      <c r="F932" s="424">
        <v>0</v>
      </c>
      <c r="G932" s="424">
        <v>0</v>
      </c>
    </row>
    <row r="933" spans="1:12">
      <c r="A933" s="423" t="s">
        <v>1200</v>
      </c>
      <c r="B933" s="424">
        <v>0</v>
      </c>
      <c r="C933" s="424">
        <v>0</v>
      </c>
      <c r="D933" s="424">
        <v>0</v>
      </c>
      <c r="E933" s="424">
        <v>7406.0815199999997</v>
      </c>
      <c r="F933" s="424">
        <v>0</v>
      </c>
      <c r="G933" s="424">
        <v>7406.0815199999997</v>
      </c>
    </row>
    <row r="934" spans="1:12">
      <c r="A934" s="423" t="s">
        <v>1203</v>
      </c>
      <c r="B934" s="424">
        <v>0</v>
      </c>
      <c r="C934" s="424">
        <v>1523.94119</v>
      </c>
      <c r="D934" s="424">
        <v>0</v>
      </c>
      <c r="E934" s="425">
        <v>-1523.94119</v>
      </c>
      <c r="F934" s="424">
        <v>0</v>
      </c>
      <c r="G934" s="424">
        <v>0</v>
      </c>
    </row>
    <row r="935" spans="1:12">
      <c r="A935" s="423" t="s">
        <v>1209</v>
      </c>
      <c r="B935" s="424">
        <v>0</v>
      </c>
      <c r="C935" s="424">
        <v>192.14219</v>
      </c>
      <c r="D935" s="424">
        <v>0</v>
      </c>
      <c r="E935" s="425">
        <v>-192.14219</v>
      </c>
      <c r="F935" s="424">
        <v>0</v>
      </c>
      <c r="G935" s="424">
        <v>0</v>
      </c>
    </row>
    <row r="936" spans="1:12">
      <c r="A936" s="423" t="s">
        <v>1210</v>
      </c>
      <c r="B936" s="424">
        <v>0</v>
      </c>
      <c r="C936" s="424">
        <v>166.1</v>
      </c>
      <c r="D936" s="424">
        <v>0</v>
      </c>
      <c r="E936" s="424">
        <v>0</v>
      </c>
      <c r="F936" s="424">
        <v>0</v>
      </c>
      <c r="G936" s="424">
        <v>166.1</v>
      </c>
    </row>
    <row r="937" spans="1:12">
      <c r="A937" s="423" t="s">
        <v>1215</v>
      </c>
      <c r="B937" s="424">
        <v>0</v>
      </c>
      <c r="C937" s="424">
        <v>0</v>
      </c>
      <c r="D937" s="424">
        <v>0</v>
      </c>
      <c r="E937" s="424">
        <v>300</v>
      </c>
      <c r="F937" s="424">
        <v>0</v>
      </c>
      <c r="G937" s="424">
        <v>300</v>
      </c>
    </row>
    <row r="938" spans="1:12">
      <c r="A938" s="423" t="s">
        <v>1219</v>
      </c>
      <c r="B938" s="424">
        <v>0</v>
      </c>
      <c r="C938" s="424">
        <v>508.73</v>
      </c>
      <c r="D938" s="424">
        <v>0</v>
      </c>
      <c r="E938" s="424">
        <v>0</v>
      </c>
      <c r="F938" s="424">
        <v>0</v>
      </c>
      <c r="G938" s="424">
        <v>508.73</v>
      </c>
    </row>
    <row r="939" spans="1:12">
      <c r="A939" s="423" t="s">
        <v>1220</v>
      </c>
      <c r="B939" s="424">
        <v>0</v>
      </c>
      <c r="C939" s="424">
        <v>101.25</v>
      </c>
      <c r="D939" s="424">
        <v>0</v>
      </c>
      <c r="E939" s="424">
        <v>303.75</v>
      </c>
      <c r="F939" s="424">
        <v>0</v>
      </c>
      <c r="G939" s="424">
        <v>405</v>
      </c>
    </row>
    <row r="940" spans="1:12">
      <c r="A940" s="423" t="s">
        <v>1231</v>
      </c>
      <c r="B940" s="424">
        <v>0</v>
      </c>
      <c r="C940" s="424">
        <v>3634.4795199999999</v>
      </c>
      <c r="D940" s="424">
        <v>0</v>
      </c>
      <c r="E940" s="425">
        <v>-3634.4795199999999</v>
      </c>
      <c r="F940" s="424">
        <v>0</v>
      </c>
      <c r="G940" s="424">
        <v>0</v>
      </c>
    </row>
    <row r="941" spans="1:12">
      <c r="A941" s="423" t="s">
        <v>1235</v>
      </c>
      <c r="B941" s="424">
        <v>0</v>
      </c>
      <c r="C941" s="424">
        <v>144.52500000000001</v>
      </c>
      <c r="D941" s="424">
        <v>0</v>
      </c>
      <c r="E941" s="424">
        <v>433.57499999999999</v>
      </c>
      <c r="F941" s="424">
        <v>0</v>
      </c>
      <c r="G941" s="424">
        <v>578.1</v>
      </c>
    </row>
    <row r="942" spans="1:12">
      <c r="A942" s="423" t="s">
        <v>1242</v>
      </c>
      <c r="B942" s="424">
        <v>0</v>
      </c>
      <c r="C942" s="424">
        <v>0</v>
      </c>
      <c r="D942" s="424">
        <v>0</v>
      </c>
      <c r="E942" s="424">
        <v>5.4</v>
      </c>
      <c r="F942" s="424">
        <v>0</v>
      </c>
      <c r="G942" s="424">
        <v>5.4</v>
      </c>
    </row>
    <row r="943" spans="1:12">
      <c r="A943" s="423" t="s">
        <v>1245</v>
      </c>
      <c r="B943" s="424">
        <v>0</v>
      </c>
      <c r="C943" s="424">
        <v>0</v>
      </c>
      <c r="D943" s="424">
        <v>0</v>
      </c>
      <c r="E943" s="424">
        <v>3.0000000000000001E-3</v>
      </c>
      <c r="F943" s="424">
        <v>0</v>
      </c>
      <c r="G943" s="424">
        <v>3.0000000000000001E-3</v>
      </c>
    </row>
    <row r="944" spans="1:12">
      <c r="A944" s="423" t="s">
        <v>1246</v>
      </c>
      <c r="B944" s="424">
        <v>0</v>
      </c>
      <c r="C944" s="424">
        <v>100.00449999999999</v>
      </c>
      <c r="D944" s="424">
        <v>0</v>
      </c>
      <c r="E944" s="424">
        <v>0</v>
      </c>
      <c r="F944" s="424">
        <v>0</v>
      </c>
      <c r="G944" s="424">
        <v>100.00449999999999</v>
      </c>
    </row>
    <row r="945" spans="1:7">
      <c r="A945" s="423" t="s">
        <v>1248</v>
      </c>
      <c r="B945" s="424">
        <v>0</v>
      </c>
      <c r="C945" s="424">
        <v>15027.9</v>
      </c>
      <c r="D945" s="424">
        <v>0</v>
      </c>
      <c r="E945" s="425">
        <v>-6427.7</v>
      </c>
      <c r="F945" s="424">
        <v>0</v>
      </c>
      <c r="G945" s="424">
        <v>8600.2000000000007</v>
      </c>
    </row>
    <row r="946" spans="1:7">
      <c r="A946" s="423" t="s">
        <v>1249</v>
      </c>
      <c r="B946" s="424">
        <v>0</v>
      </c>
      <c r="C946" s="424">
        <v>60</v>
      </c>
      <c r="D946" s="424">
        <v>0</v>
      </c>
      <c r="E946" s="424">
        <v>0</v>
      </c>
      <c r="F946" s="424">
        <v>0</v>
      </c>
      <c r="G946" s="424">
        <v>60</v>
      </c>
    </row>
    <row r="947" spans="1:7">
      <c r="A947" s="423" t="s">
        <v>1258</v>
      </c>
      <c r="B947" s="424">
        <v>0</v>
      </c>
      <c r="C947" s="424">
        <v>64</v>
      </c>
      <c r="D947" s="424">
        <v>0</v>
      </c>
      <c r="E947" s="424">
        <v>0</v>
      </c>
      <c r="F947" s="424">
        <v>0</v>
      </c>
      <c r="G947" s="424">
        <v>64</v>
      </c>
    </row>
    <row r="948" spans="1:7">
      <c r="A948" s="423" t="s">
        <v>1259</v>
      </c>
      <c r="B948" s="424">
        <v>0</v>
      </c>
      <c r="C948" s="424">
        <v>137.9025</v>
      </c>
      <c r="D948" s="424">
        <v>0</v>
      </c>
      <c r="E948" s="424">
        <v>8.1500000000000003E-2</v>
      </c>
      <c r="F948" s="424">
        <v>0</v>
      </c>
      <c r="G948" s="424">
        <v>137.98400000000001</v>
      </c>
    </row>
    <row r="949" spans="1:7">
      <c r="A949" s="423" t="s">
        <v>1263</v>
      </c>
      <c r="B949" s="424">
        <v>0</v>
      </c>
      <c r="C949" s="424">
        <v>70</v>
      </c>
      <c r="D949" s="424">
        <v>0</v>
      </c>
      <c r="E949" s="424">
        <v>0</v>
      </c>
      <c r="F949" s="424">
        <v>0</v>
      </c>
      <c r="G949" s="424">
        <v>70</v>
      </c>
    </row>
    <row r="950" spans="1:7">
      <c r="A950" s="423" t="s">
        <v>1264</v>
      </c>
      <c r="B950" s="424">
        <v>0</v>
      </c>
      <c r="C950" s="424">
        <v>0</v>
      </c>
      <c r="D950" s="424">
        <v>0</v>
      </c>
      <c r="E950" s="424">
        <v>186.46074999999999</v>
      </c>
      <c r="F950" s="424">
        <v>0</v>
      </c>
      <c r="G950" s="424">
        <v>186.46074999999999</v>
      </c>
    </row>
    <row r="951" spans="1:7">
      <c r="A951" s="423" t="s">
        <v>1266</v>
      </c>
      <c r="B951" s="424">
        <v>0</v>
      </c>
      <c r="C951" s="424">
        <v>1.6</v>
      </c>
      <c r="D951" s="424">
        <v>0</v>
      </c>
      <c r="E951" s="424">
        <v>0</v>
      </c>
      <c r="F951" s="424">
        <v>0</v>
      </c>
      <c r="G951" s="424">
        <v>1.6</v>
      </c>
    </row>
    <row r="952" spans="1:7">
      <c r="A952" s="423" t="s">
        <v>1267</v>
      </c>
      <c r="B952" s="424">
        <v>0</v>
      </c>
      <c r="C952" s="424">
        <v>0</v>
      </c>
      <c r="D952" s="424">
        <v>0</v>
      </c>
      <c r="E952" s="424">
        <v>46.25</v>
      </c>
      <c r="F952" s="424">
        <v>0</v>
      </c>
      <c r="G952" s="424">
        <v>46.25</v>
      </c>
    </row>
    <row r="953" spans="1:7">
      <c r="A953" s="423" t="s">
        <v>1270</v>
      </c>
      <c r="B953" s="424">
        <v>0</v>
      </c>
      <c r="C953" s="424">
        <v>0</v>
      </c>
      <c r="D953" s="424">
        <v>0</v>
      </c>
      <c r="E953" s="424">
        <v>93.5</v>
      </c>
      <c r="F953" s="424">
        <v>0</v>
      </c>
      <c r="G953" s="424">
        <v>93.5</v>
      </c>
    </row>
    <row r="954" spans="1:7">
      <c r="A954" s="423" t="s">
        <v>1271</v>
      </c>
      <c r="B954" s="424">
        <v>0</v>
      </c>
      <c r="C954" s="424">
        <v>72.75</v>
      </c>
      <c r="D954" s="424">
        <v>0</v>
      </c>
      <c r="E954" s="424">
        <v>321</v>
      </c>
      <c r="F954" s="424">
        <v>0</v>
      </c>
      <c r="G954" s="424">
        <v>393.75</v>
      </c>
    </row>
    <row r="955" spans="1:7">
      <c r="A955" s="423" t="s">
        <v>1274</v>
      </c>
      <c r="B955" s="424">
        <v>0</v>
      </c>
      <c r="C955" s="424">
        <v>73.756249999999994</v>
      </c>
      <c r="D955" s="424">
        <v>0</v>
      </c>
      <c r="E955" s="424">
        <v>221.26875000000001</v>
      </c>
      <c r="F955" s="424">
        <v>0</v>
      </c>
      <c r="G955" s="424">
        <v>295.02499999999998</v>
      </c>
    </row>
    <row r="956" spans="1:7">
      <c r="A956" s="423" t="s">
        <v>1275</v>
      </c>
      <c r="B956" s="424">
        <v>0</v>
      </c>
      <c r="C956" s="424">
        <v>14.5</v>
      </c>
      <c r="D956" s="424">
        <v>0</v>
      </c>
      <c r="E956" s="424">
        <v>0</v>
      </c>
      <c r="F956" s="424">
        <v>0</v>
      </c>
      <c r="G956" s="424">
        <v>14.5</v>
      </c>
    </row>
    <row r="957" spans="1:7">
      <c r="A957" s="423" t="s">
        <v>1276</v>
      </c>
      <c r="B957" s="424">
        <v>0</v>
      </c>
      <c r="C957" s="424">
        <v>143.17207000000002</v>
      </c>
      <c r="D957" s="424">
        <v>0</v>
      </c>
      <c r="E957" s="424">
        <v>0</v>
      </c>
      <c r="F957" s="424">
        <v>0</v>
      </c>
      <c r="G957" s="424">
        <v>143.17207000000002</v>
      </c>
    </row>
    <row r="958" spans="1:7">
      <c r="A958" s="423" t="s">
        <v>1278</v>
      </c>
      <c r="B958" s="424">
        <v>0</v>
      </c>
      <c r="C958" s="424">
        <v>0.50019000000000002</v>
      </c>
      <c r="D958" s="424">
        <v>0</v>
      </c>
      <c r="E958" s="425">
        <v>-1.9000000000000001E-4</v>
      </c>
      <c r="F958" s="424">
        <v>0</v>
      </c>
      <c r="G958" s="424">
        <v>0.5</v>
      </c>
    </row>
    <row r="959" spans="1:7">
      <c r="A959" s="423" t="s">
        <v>2438</v>
      </c>
      <c r="B959" s="424">
        <v>0</v>
      </c>
      <c r="C959" s="424">
        <v>241</v>
      </c>
      <c r="D959" s="424">
        <v>0</v>
      </c>
      <c r="E959" s="425">
        <v>-241</v>
      </c>
      <c r="F959" s="424">
        <v>0</v>
      </c>
      <c r="G959" s="424">
        <v>0</v>
      </c>
    </row>
    <row r="960" spans="1:7">
      <c r="A960" s="423" t="s">
        <v>1283</v>
      </c>
      <c r="B960" s="424">
        <v>0</v>
      </c>
      <c r="C960" s="424">
        <v>120</v>
      </c>
      <c r="D960" s="424">
        <v>0</v>
      </c>
      <c r="E960" s="424">
        <v>0</v>
      </c>
      <c r="F960" s="424">
        <v>0</v>
      </c>
      <c r="G960" s="424">
        <v>120</v>
      </c>
    </row>
    <row r="961" spans="1:7">
      <c r="A961" s="423" t="s">
        <v>1289</v>
      </c>
      <c r="B961" s="424">
        <v>0</v>
      </c>
      <c r="C961" s="424">
        <v>71.5</v>
      </c>
      <c r="D961" s="424">
        <v>0</v>
      </c>
      <c r="E961" s="424">
        <v>0</v>
      </c>
      <c r="F961" s="424">
        <v>0</v>
      </c>
      <c r="G961" s="424">
        <v>71.5</v>
      </c>
    </row>
    <row r="962" spans="1:7">
      <c r="A962" s="423" t="s">
        <v>1290</v>
      </c>
      <c r="B962" s="424">
        <v>0</v>
      </c>
      <c r="C962" s="424">
        <v>1319.21459</v>
      </c>
      <c r="D962" s="424">
        <v>0</v>
      </c>
      <c r="E962" s="424">
        <v>3680.78541</v>
      </c>
      <c r="F962" s="424">
        <v>0</v>
      </c>
      <c r="G962" s="424">
        <v>5000</v>
      </c>
    </row>
    <row r="963" spans="1:7">
      <c r="A963" s="423" t="s">
        <v>1294</v>
      </c>
      <c r="B963" s="424">
        <v>0</v>
      </c>
      <c r="C963" s="424">
        <v>467.35192000000001</v>
      </c>
      <c r="D963" s="424">
        <v>0</v>
      </c>
      <c r="E963" s="424">
        <v>0</v>
      </c>
      <c r="F963" s="424">
        <v>0</v>
      </c>
      <c r="G963" s="424">
        <v>467.35192000000001</v>
      </c>
    </row>
    <row r="964" spans="1:7">
      <c r="A964" s="423" t="s">
        <v>1295</v>
      </c>
      <c r="B964" s="424">
        <v>0</v>
      </c>
      <c r="C964" s="424">
        <v>8.5839999999999996</v>
      </c>
      <c r="D964" s="424">
        <v>0</v>
      </c>
      <c r="E964" s="424">
        <v>8.5839999999999996</v>
      </c>
      <c r="F964" s="424">
        <v>0</v>
      </c>
      <c r="G964" s="424">
        <v>17.167999999999999</v>
      </c>
    </row>
    <row r="965" spans="1:7">
      <c r="A965" s="423" t="s">
        <v>1300</v>
      </c>
      <c r="B965" s="424">
        <v>0</v>
      </c>
      <c r="C965" s="424">
        <v>51</v>
      </c>
      <c r="D965" s="424">
        <v>0</v>
      </c>
      <c r="E965" s="424">
        <v>0</v>
      </c>
      <c r="F965" s="424">
        <v>0</v>
      </c>
      <c r="G965" s="424">
        <v>51</v>
      </c>
    </row>
    <row r="966" spans="1:7">
      <c r="A966" s="423" t="s">
        <v>1302</v>
      </c>
      <c r="B966" s="424">
        <v>0</v>
      </c>
      <c r="C966" s="424">
        <v>3600</v>
      </c>
      <c r="D966" s="424">
        <v>0</v>
      </c>
      <c r="E966" s="424">
        <v>0</v>
      </c>
      <c r="F966" s="424">
        <v>0</v>
      </c>
      <c r="G966" s="424">
        <v>3600</v>
      </c>
    </row>
    <row r="967" spans="1:7">
      <c r="A967" s="423" t="s">
        <v>1303</v>
      </c>
      <c r="B967" s="424">
        <v>0</v>
      </c>
      <c r="C967" s="424">
        <v>56.587060000000001</v>
      </c>
      <c r="D967" s="424">
        <v>0</v>
      </c>
      <c r="E967" s="424">
        <v>0</v>
      </c>
      <c r="F967" s="424">
        <v>0</v>
      </c>
      <c r="G967" s="424">
        <v>56.587060000000001</v>
      </c>
    </row>
    <row r="968" spans="1:7">
      <c r="A968" s="423" t="s">
        <v>1305</v>
      </c>
      <c r="B968" s="424">
        <v>0</v>
      </c>
      <c r="C968" s="424">
        <v>945.59190000000001</v>
      </c>
      <c r="D968" s="424">
        <v>0</v>
      </c>
      <c r="E968" s="424">
        <v>125.874</v>
      </c>
      <c r="F968" s="424">
        <v>0</v>
      </c>
      <c r="G968" s="424">
        <v>1071.4658999999999</v>
      </c>
    </row>
    <row r="969" spans="1:7">
      <c r="A969" s="423" t="s">
        <v>852</v>
      </c>
      <c r="B969" s="424">
        <v>0</v>
      </c>
      <c r="C969" s="424">
        <v>440.76100000000002</v>
      </c>
      <c r="D969" s="424">
        <v>0</v>
      </c>
      <c r="E969" s="425">
        <v>-440.76100000000002</v>
      </c>
      <c r="F969" s="424">
        <v>0</v>
      </c>
      <c r="G969" s="424">
        <v>0</v>
      </c>
    </row>
    <row r="970" spans="1:7">
      <c r="A970" s="423" t="s">
        <v>1306</v>
      </c>
      <c r="B970" s="424">
        <v>0</v>
      </c>
      <c r="C970" s="424">
        <v>0</v>
      </c>
      <c r="D970" s="424">
        <v>0</v>
      </c>
      <c r="E970" s="424">
        <v>4.4000000000000004</v>
      </c>
      <c r="F970" s="424">
        <v>0</v>
      </c>
      <c r="G970" s="424">
        <v>4.4000000000000004</v>
      </c>
    </row>
    <row r="971" spans="1:7">
      <c r="A971" s="423" t="s">
        <v>1308</v>
      </c>
      <c r="B971" s="424">
        <v>0</v>
      </c>
      <c r="C971" s="424">
        <v>1201.5</v>
      </c>
      <c r="D971" s="424">
        <v>0</v>
      </c>
      <c r="E971" s="424">
        <v>734</v>
      </c>
      <c r="F971" s="424">
        <v>0</v>
      </c>
      <c r="G971" s="424">
        <v>1935.5</v>
      </c>
    </row>
    <row r="972" spans="1:7">
      <c r="A972" s="423" t="s">
        <v>1314</v>
      </c>
      <c r="B972" s="424">
        <v>0</v>
      </c>
      <c r="C972" s="424">
        <v>72.319999999999993</v>
      </c>
      <c r="D972" s="424">
        <v>0</v>
      </c>
      <c r="E972" s="424">
        <v>0</v>
      </c>
      <c r="F972" s="424">
        <v>0</v>
      </c>
      <c r="G972" s="424">
        <v>72.319999999999993</v>
      </c>
    </row>
    <row r="973" spans="1:7">
      <c r="A973" s="423" t="s">
        <v>1315</v>
      </c>
      <c r="B973" s="424">
        <v>0</v>
      </c>
      <c r="C973" s="424">
        <v>198</v>
      </c>
      <c r="D973" s="424">
        <v>0</v>
      </c>
      <c r="E973" s="425">
        <v>-198</v>
      </c>
      <c r="F973" s="424">
        <v>0</v>
      </c>
      <c r="G973" s="424">
        <v>0</v>
      </c>
    </row>
    <row r="974" spans="1:7">
      <c r="A974" s="423" t="s">
        <v>1318</v>
      </c>
      <c r="B974" s="424">
        <v>0</v>
      </c>
      <c r="C974" s="424">
        <v>104.52849999999999</v>
      </c>
      <c r="D974" s="424">
        <v>0</v>
      </c>
      <c r="E974" s="425">
        <v>-104.52849999999999</v>
      </c>
      <c r="F974" s="424">
        <v>0</v>
      </c>
      <c r="G974" s="424">
        <v>0</v>
      </c>
    </row>
    <row r="975" spans="1:7">
      <c r="A975" s="423" t="s">
        <v>1323</v>
      </c>
      <c r="B975" s="424">
        <v>0</v>
      </c>
      <c r="C975" s="424">
        <v>0</v>
      </c>
      <c r="D975" s="424">
        <v>0</v>
      </c>
      <c r="E975" s="424">
        <v>90.314600000000013</v>
      </c>
      <c r="F975" s="424">
        <v>0</v>
      </c>
      <c r="G975" s="424">
        <v>90.314600000000013</v>
      </c>
    </row>
    <row r="976" spans="1:7">
      <c r="A976" s="423" t="s">
        <v>1329</v>
      </c>
      <c r="B976" s="424">
        <v>0</v>
      </c>
      <c r="C976" s="424">
        <v>0</v>
      </c>
      <c r="D976" s="424">
        <v>0</v>
      </c>
      <c r="E976" s="424">
        <v>420</v>
      </c>
      <c r="F976" s="424">
        <v>0</v>
      </c>
      <c r="G976" s="424">
        <v>420</v>
      </c>
    </row>
    <row r="977" spans="1:7">
      <c r="A977" s="423" t="s">
        <v>1340</v>
      </c>
      <c r="B977" s="424">
        <v>0</v>
      </c>
      <c r="C977" s="424">
        <v>37.1</v>
      </c>
      <c r="D977" s="424">
        <v>0</v>
      </c>
      <c r="E977" s="425">
        <v>-37.1</v>
      </c>
      <c r="F977" s="424">
        <v>0</v>
      </c>
      <c r="G977" s="424">
        <v>0</v>
      </c>
    </row>
    <row r="978" spans="1:7">
      <c r="A978" s="423" t="s">
        <v>1341</v>
      </c>
      <c r="B978" s="424">
        <v>0</v>
      </c>
      <c r="C978" s="424">
        <v>392.64105999999998</v>
      </c>
      <c r="D978" s="424">
        <v>0</v>
      </c>
      <c r="E978" s="425">
        <v>-131</v>
      </c>
      <c r="F978" s="424">
        <v>0</v>
      </c>
      <c r="G978" s="424">
        <v>261.64105999999998</v>
      </c>
    </row>
    <row r="979" spans="1:7">
      <c r="A979" s="423" t="s">
        <v>1343</v>
      </c>
      <c r="B979" s="424">
        <v>0</v>
      </c>
      <c r="C979" s="424">
        <v>8.4320799999999991</v>
      </c>
      <c r="D979" s="424">
        <v>0</v>
      </c>
      <c r="E979" s="425">
        <v>-8.427389999999999</v>
      </c>
      <c r="F979" s="424">
        <v>0</v>
      </c>
      <c r="G979" s="424">
        <v>4.6900000000000006E-3</v>
      </c>
    </row>
    <row r="980" spans="1:7">
      <c r="A980" s="423" t="s">
        <v>1350</v>
      </c>
      <c r="B980" s="424">
        <v>0</v>
      </c>
      <c r="C980" s="424">
        <v>1088.8786100000002</v>
      </c>
      <c r="D980" s="424">
        <v>0</v>
      </c>
      <c r="E980" s="424">
        <v>12145</v>
      </c>
      <c r="F980" s="424">
        <v>0</v>
      </c>
      <c r="G980" s="424">
        <v>13233.87861</v>
      </c>
    </row>
    <row r="981" spans="1:7">
      <c r="A981" s="423" t="s">
        <v>1352</v>
      </c>
      <c r="B981" s="424">
        <v>0</v>
      </c>
      <c r="C981" s="424">
        <v>51.618949999999998</v>
      </c>
      <c r="D981" s="424">
        <v>0</v>
      </c>
      <c r="E981" s="424">
        <v>0</v>
      </c>
      <c r="F981" s="424">
        <v>0</v>
      </c>
      <c r="G981" s="424">
        <v>51.618949999999998</v>
      </c>
    </row>
    <row r="982" spans="1:7">
      <c r="A982" s="423" t="s">
        <v>1354</v>
      </c>
      <c r="B982" s="424">
        <v>0</v>
      </c>
      <c r="C982" s="424">
        <v>0</v>
      </c>
      <c r="D982" s="424">
        <v>0</v>
      </c>
      <c r="E982" s="424">
        <v>26</v>
      </c>
      <c r="F982" s="424">
        <v>0</v>
      </c>
      <c r="G982" s="424">
        <v>26</v>
      </c>
    </row>
    <row r="983" spans="1:7">
      <c r="A983" s="423" t="s">
        <v>1355</v>
      </c>
      <c r="B983" s="424">
        <v>0</v>
      </c>
      <c r="C983" s="424">
        <v>2005.5</v>
      </c>
      <c r="D983" s="424">
        <v>0</v>
      </c>
      <c r="E983" s="424">
        <v>0</v>
      </c>
      <c r="F983" s="424">
        <v>0</v>
      </c>
      <c r="G983" s="424">
        <v>2005.5</v>
      </c>
    </row>
    <row r="984" spans="1:7">
      <c r="A984" s="423" t="s">
        <v>1368</v>
      </c>
      <c r="B984" s="424">
        <v>0</v>
      </c>
      <c r="C984" s="424">
        <v>267</v>
      </c>
      <c r="D984" s="424">
        <v>0</v>
      </c>
      <c r="E984" s="424">
        <v>0</v>
      </c>
      <c r="F984" s="424">
        <v>0</v>
      </c>
      <c r="G984" s="424">
        <v>267</v>
      </c>
    </row>
    <row r="985" spans="1:7">
      <c r="A985" s="423" t="s">
        <v>884</v>
      </c>
      <c r="B985" s="424">
        <v>0</v>
      </c>
      <c r="C985" s="424">
        <v>59.811900000000001</v>
      </c>
      <c r="D985" s="424">
        <v>0</v>
      </c>
      <c r="E985" s="424">
        <v>22.788599999999999</v>
      </c>
      <c r="F985" s="424">
        <v>0</v>
      </c>
      <c r="G985" s="424">
        <v>82.600499999999997</v>
      </c>
    </row>
    <row r="986" spans="1:7">
      <c r="A986" s="423" t="s">
        <v>1371</v>
      </c>
      <c r="B986" s="424">
        <v>0</v>
      </c>
      <c r="C986" s="424">
        <v>0</v>
      </c>
      <c r="D986" s="424">
        <v>0</v>
      </c>
      <c r="E986" s="424">
        <v>903</v>
      </c>
      <c r="F986" s="424">
        <v>0</v>
      </c>
      <c r="G986" s="424">
        <v>903</v>
      </c>
    </row>
    <row r="987" spans="1:7">
      <c r="A987" s="423" t="s">
        <v>889</v>
      </c>
      <c r="B987" s="424">
        <v>0</v>
      </c>
      <c r="C987" s="424">
        <v>0</v>
      </c>
      <c r="D987" s="424">
        <v>0</v>
      </c>
      <c r="E987" s="424">
        <v>5.4329999999999998</v>
      </c>
      <c r="F987" s="424">
        <v>0</v>
      </c>
      <c r="G987" s="424">
        <v>5.4329999999999998</v>
      </c>
    </row>
    <row r="988" spans="1:7">
      <c r="A988" s="423" t="s">
        <v>1383</v>
      </c>
      <c r="B988" s="424">
        <v>0</v>
      </c>
      <c r="C988" s="424">
        <v>0</v>
      </c>
      <c r="D988" s="424">
        <v>0</v>
      </c>
      <c r="E988" s="424">
        <v>338.27459999999996</v>
      </c>
      <c r="F988" s="424">
        <v>0</v>
      </c>
      <c r="G988" s="424">
        <v>338.27459999999996</v>
      </c>
    </row>
    <row r="989" spans="1:7">
      <c r="A989" s="423" t="s">
        <v>1386</v>
      </c>
      <c r="B989" s="424">
        <v>0</v>
      </c>
      <c r="C989" s="424">
        <v>77.84</v>
      </c>
      <c r="D989" s="424">
        <v>0</v>
      </c>
      <c r="E989" s="424">
        <v>77.84</v>
      </c>
      <c r="F989" s="424">
        <v>0</v>
      </c>
      <c r="G989" s="424">
        <v>155.68</v>
      </c>
    </row>
    <row r="990" spans="1:7">
      <c r="A990" s="423" t="s">
        <v>1388</v>
      </c>
      <c r="B990" s="424">
        <v>0</v>
      </c>
      <c r="C990" s="424">
        <v>236.488</v>
      </c>
      <c r="D990" s="424">
        <v>0</v>
      </c>
      <c r="E990" s="425">
        <v>-236.488</v>
      </c>
      <c r="F990" s="424">
        <v>0</v>
      </c>
      <c r="G990" s="424">
        <v>0</v>
      </c>
    </row>
    <row r="991" spans="1:7">
      <c r="A991" s="423" t="s">
        <v>1391</v>
      </c>
      <c r="B991" s="424">
        <v>0</v>
      </c>
      <c r="C991" s="424">
        <v>195</v>
      </c>
      <c r="D991" s="424">
        <v>0</v>
      </c>
      <c r="E991" s="425">
        <v>-195</v>
      </c>
      <c r="F991" s="424">
        <v>0</v>
      </c>
      <c r="G991" s="424">
        <v>0</v>
      </c>
    </row>
    <row r="992" spans="1:7">
      <c r="A992" s="423" t="s">
        <v>1392</v>
      </c>
      <c r="B992" s="424">
        <v>0</v>
      </c>
      <c r="C992" s="424">
        <v>44.5</v>
      </c>
      <c r="D992" s="424">
        <v>0</v>
      </c>
      <c r="E992" s="424">
        <v>133.5</v>
      </c>
      <c r="F992" s="424">
        <v>0</v>
      </c>
      <c r="G992" s="424">
        <v>178</v>
      </c>
    </row>
    <row r="993" spans="1:7">
      <c r="A993" s="423" t="s">
        <v>1396</v>
      </c>
      <c r="B993" s="424">
        <v>0</v>
      </c>
      <c r="C993" s="424">
        <v>1233.2080000000001</v>
      </c>
      <c r="D993" s="424">
        <v>0</v>
      </c>
      <c r="E993" s="424">
        <v>614.54999999999995</v>
      </c>
      <c r="F993" s="424">
        <v>0</v>
      </c>
      <c r="G993" s="424">
        <v>1847.758</v>
      </c>
    </row>
    <row r="994" spans="1:7">
      <c r="A994" s="423" t="s">
        <v>1400</v>
      </c>
      <c r="B994" s="424">
        <v>0</v>
      </c>
      <c r="C994" s="424">
        <v>142.5</v>
      </c>
      <c r="D994" s="424">
        <v>0</v>
      </c>
      <c r="E994" s="424">
        <v>142.5</v>
      </c>
      <c r="F994" s="424">
        <v>0</v>
      </c>
      <c r="G994" s="424">
        <v>285</v>
      </c>
    </row>
    <row r="995" spans="1:7">
      <c r="A995" s="423" t="s">
        <v>1401</v>
      </c>
      <c r="B995" s="424">
        <v>0</v>
      </c>
      <c r="C995" s="424">
        <v>18</v>
      </c>
      <c r="D995" s="424">
        <v>0</v>
      </c>
      <c r="E995" s="424">
        <v>0</v>
      </c>
      <c r="F995" s="424">
        <v>0</v>
      </c>
      <c r="G995" s="424">
        <v>18</v>
      </c>
    </row>
    <row r="996" spans="1:7">
      <c r="A996" s="423" t="s">
        <v>1422</v>
      </c>
      <c r="B996" s="424">
        <v>0</v>
      </c>
      <c r="C996" s="424">
        <v>2395</v>
      </c>
      <c r="D996" s="424">
        <v>0</v>
      </c>
      <c r="E996" s="424">
        <v>2925</v>
      </c>
      <c r="F996" s="424">
        <v>0</v>
      </c>
      <c r="G996" s="424">
        <v>5320</v>
      </c>
    </row>
    <row r="997" spans="1:7">
      <c r="A997" s="423" t="s">
        <v>1424</v>
      </c>
      <c r="B997" s="424">
        <v>0</v>
      </c>
      <c r="C997" s="424">
        <v>2027.61</v>
      </c>
      <c r="D997" s="424">
        <v>0</v>
      </c>
      <c r="E997" s="425">
        <v>-2027.61</v>
      </c>
      <c r="F997" s="424">
        <v>0</v>
      </c>
      <c r="G997" s="424">
        <v>0</v>
      </c>
    </row>
    <row r="998" spans="1:7">
      <c r="A998" s="423" t="s">
        <v>1425</v>
      </c>
      <c r="B998" s="424">
        <v>0</v>
      </c>
      <c r="C998" s="424">
        <v>533.60752000000002</v>
      </c>
      <c r="D998" s="424">
        <v>0</v>
      </c>
      <c r="E998" s="424">
        <v>217.37182000000001</v>
      </c>
      <c r="F998" s="424">
        <v>0</v>
      </c>
      <c r="G998" s="424">
        <v>750.97933999999998</v>
      </c>
    </row>
    <row r="999" spans="1:7">
      <c r="A999" s="423" t="s">
        <v>1426</v>
      </c>
      <c r="B999" s="424">
        <v>0</v>
      </c>
      <c r="C999" s="424">
        <v>0</v>
      </c>
      <c r="D999" s="424">
        <v>0</v>
      </c>
      <c r="E999" s="424">
        <v>4.0000000000000001E-3</v>
      </c>
      <c r="F999" s="424">
        <v>0</v>
      </c>
      <c r="G999" s="424">
        <v>4.0000000000000001E-3</v>
      </c>
    </row>
    <row r="1000" spans="1:7">
      <c r="A1000" s="423" t="s">
        <v>1428</v>
      </c>
      <c r="B1000" s="424">
        <v>0</v>
      </c>
      <c r="C1000" s="424">
        <v>0.78125</v>
      </c>
      <c r="D1000" s="424">
        <v>0</v>
      </c>
      <c r="E1000" s="424">
        <v>0.87629999999999997</v>
      </c>
      <c r="F1000" s="424">
        <v>0</v>
      </c>
      <c r="G1000" s="424">
        <v>1.6575499999999999</v>
      </c>
    </row>
    <row r="1001" spans="1:7">
      <c r="A1001" s="423" t="s">
        <v>1429</v>
      </c>
      <c r="B1001" s="424">
        <v>0</v>
      </c>
      <c r="C1001" s="424">
        <v>232.16249999999999</v>
      </c>
      <c r="D1001" s="424">
        <v>0</v>
      </c>
      <c r="E1001" s="425">
        <v>-232.16249999999999</v>
      </c>
      <c r="F1001" s="424">
        <v>0</v>
      </c>
      <c r="G1001" s="424">
        <v>0</v>
      </c>
    </row>
    <row r="1002" spans="1:7">
      <c r="A1002" s="423" t="s">
        <v>2439</v>
      </c>
      <c r="B1002" s="424">
        <v>0</v>
      </c>
      <c r="C1002" s="424">
        <v>154</v>
      </c>
      <c r="D1002" s="424">
        <v>0</v>
      </c>
      <c r="E1002" s="425">
        <v>-154</v>
      </c>
      <c r="F1002" s="424">
        <v>0</v>
      </c>
      <c r="G1002" s="424">
        <v>0</v>
      </c>
    </row>
    <row r="1003" spans="1:7">
      <c r="A1003" s="423" t="s">
        <v>1433</v>
      </c>
      <c r="B1003" s="424">
        <v>0</v>
      </c>
      <c r="C1003" s="424">
        <v>16.26183</v>
      </c>
      <c r="D1003" s="424">
        <v>0</v>
      </c>
      <c r="E1003" s="425">
        <v>-11.73516</v>
      </c>
      <c r="F1003" s="424">
        <v>0</v>
      </c>
      <c r="G1003" s="424">
        <v>4.5266700000000002</v>
      </c>
    </row>
    <row r="1004" spans="1:7">
      <c r="A1004" s="423" t="s">
        <v>1434</v>
      </c>
      <c r="B1004" s="424">
        <v>0</v>
      </c>
      <c r="C1004" s="424">
        <v>0</v>
      </c>
      <c r="D1004" s="424">
        <v>0</v>
      </c>
      <c r="E1004" s="424">
        <v>31.5</v>
      </c>
      <c r="F1004" s="424">
        <v>0</v>
      </c>
      <c r="G1004" s="424">
        <v>31.5</v>
      </c>
    </row>
    <row r="1005" spans="1:7">
      <c r="A1005" s="423" t="s">
        <v>1440</v>
      </c>
      <c r="B1005" s="424">
        <v>0</v>
      </c>
      <c r="C1005" s="424">
        <v>0</v>
      </c>
      <c r="D1005" s="424">
        <v>0</v>
      </c>
      <c r="E1005" s="424">
        <v>38.02225</v>
      </c>
      <c r="F1005" s="424">
        <v>0</v>
      </c>
      <c r="G1005" s="424">
        <v>38.02225</v>
      </c>
    </row>
    <row r="1006" spans="1:7">
      <c r="A1006" s="423" t="s">
        <v>911</v>
      </c>
      <c r="B1006" s="424">
        <v>0</v>
      </c>
      <c r="C1006" s="424">
        <v>0</v>
      </c>
      <c r="D1006" s="424">
        <v>0</v>
      </c>
      <c r="E1006" s="424">
        <v>4617.8900000000003</v>
      </c>
      <c r="F1006" s="424">
        <v>0</v>
      </c>
      <c r="G1006" s="424">
        <v>4617.8900000000003</v>
      </c>
    </row>
    <row r="1007" spans="1:7">
      <c r="A1007" s="423" t="s">
        <v>1444</v>
      </c>
      <c r="B1007" s="424">
        <v>0</v>
      </c>
      <c r="C1007" s="424">
        <v>764.8143</v>
      </c>
      <c r="D1007" s="424">
        <v>0</v>
      </c>
      <c r="E1007" s="424">
        <v>0</v>
      </c>
      <c r="F1007" s="424">
        <v>0</v>
      </c>
      <c r="G1007" s="424">
        <v>764.8143</v>
      </c>
    </row>
    <row r="1008" spans="1:7">
      <c r="A1008" s="423" t="s">
        <v>1448</v>
      </c>
      <c r="B1008" s="424">
        <v>0</v>
      </c>
      <c r="C1008" s="424">
        <v>190.19182999999998</v>
      </c>
      <c r="D1008" s="424">
        <v>0</v>
      </c>
      <c r="E1008" s="425">
        <v>-190.19182999999998</v>
      </c>
      <c r="F1008" s="424">
        <v>0</v>
      </c>
      <c r="G1008" s="424">
        <v>0</v>
      </c>
    </row>
    <row r="1009" spans="1:7">
      <c r="A1009" s="423" t="s">
        <v>1449</v>
      </c>
      <c r="B1009" s="424">
        <v>0</v>
      </c>
      <c r="C1009" s="424">
        <v>441.3</v>
      </c>
      <c r="D1009" s="424">
        <v>0</v>
      </c>
      <c r="E1009" s="424">
        <v>0</v>
      </c>
      <c r="F1009" s="424">
        <v>0</v>
      </c>
      <c r="G1009" s="424">
        <v>441.3</v>
      </c>
    </row>
    <row r="1010" spans="1:7">
      <c r="A1010" s="423" t="s">
        <v>1450</v>
      </c>
      <c r="B1010" s="424">
        <v>0</v>
      </c>
      <c r="C1010" s="424">
        <v>32.732999999999997</v>
      </c>
      <c r="D1010" s="424">
        <v>0</v>
      </c>
      <c r="E1010" s="424">
        <v>0</v>
      </c>
      <c r="F1010" s="424">
        <v>0</v>
      </c>
      <c r="G1010" s="424">
        <v>32.732999999999997</v>
      </c>
    </row>
    <row r="1011" spans="1:7">
      <c r="A1011" s="423" t="s">
        <v>1453</v>
      </c>
      <c r="B1011" s="424">
        <v>0</v>
      </c>
      <c r="C1011" s="424">
        <v>0</v>
      </c>
      <c r="D1011" s="424">
        <v>0</v>
      </c>
      <c r="E1011" s="424">
        <v>66.610119999999995</v>
      </c>
      <c r="F1011" s="424">
        <v>0</v>
      </c>
      <c r="G1011" s="424">
        <v>66.610119999999995</v>
      </c>
    </row>
    <row r="1012" spans="1:7">
      <c r="A1012" s="423" t="s">
        <v>1455</v>
      </c>
      <c r="B1012" s="424">
        <v>0</v>
      </c>
      <c r="C1012" s="424">
        <v>46</v>
      </c>
      <c r="D1012" s="424">
        <v>0</v>
      </c>
      <c r="E1012" s="424">
        <v>2636.00641</v>
      </c>
      <c r="F1012" s="424">
        <v>0</v>
      </c>
      <c r="G1012" s="424">
        <v>2682.00641</v>
      </c>
    </row>
    <row r="1013" spans="1:7">
      <c r="A1013" s="423" t="s">
        <v>1456</v>
      </c>
      <c r="B1013" s="424">
        <v>0</v>
      </c>
      <c r="C1013" s="424">
        <v>7.25</v>
      </c>
      <c r="D1013" s="424">
        <v>0</v>
      </c>
      <c r="E1013" s="424">
        <v>0</v>
      </c>
      <c r="F1013" s="424">
        <v>0</v>
      </c>
      <c r="G1013" s="424">
        <v>7.25</v>
      </c>
    </row>
    <row r="1014" spans="1:7">
      <c r="A1014" s="423" t="s">
        <v>1458</v>
      </c>
      <c r="B1014" s="424">
        <v>0</v>
      </c>
      <c r="C1014" s="424">
        <v>593.51419999999996</v>
      </c>
      <c r="D1014" s="424">
        <v>0</v>
      </c>
      <c r="E1014" s="424">
        <v>0</v>
      </c>
      <c r="F1014" s="424">
        <v>0</v>
      </c>
      <c r="G1014" s="424">
        <v>593.51419999999996</v>
      </c>
    </row>
    <row r="1015" spans="1:7">
      <c r="A1015" s="423" t="s">
        <v>1461</v>
      </c>
      <c r="B1015" s="424">
        <v>0</v>
      </c>
      <c r="C1015" s="424">
        <v>2400</v>
      </c>
      <c r="D1015" s="424">
        <v>0</v>
      </c>
      <c r="E1015" s="424">
        <v>15300</v>
      </c>
      <c r="F1015" s="424">
        <v>0</v>
      </c>
      <c r="G1015" s="424">
        <v>17700</v>
      </c>
    </row>
    <row r="1016" spans="1:7">
      <c r="A1016" s="423" t="s">
        <v>1465</v>
      </c>
      <c r="B1016" s="424">
        <v>0</v>
      </c>
      <c r="C1016" s="424">
        <v>206</v>
      </c>
      <c r="D1016" s="424">
        <v>0</v>
      </c>
      <c r="E1016" s="425">
        <v>-206</v>
      </c>
      <c r="F1016" s="424">
        <v>0</v>
      </c>
      <c r="G1016" s="424">
        <v>0</v>
      </c>
    </row>
    <row r="1017" spans="1:7">
      <c r="A1017" s="423" t="s">
        <v>1471</v>
      </c>
      <c r="B1017" s="424">
        <v>0</v>
      </c>
      <c r="C1017" s="424">
        <v>367.82499999999999</v>
      </c>
      <c r="D1017" s="424">
        <v>0</v>
      </c>
      <c r="E1017" s="424">
        <v>443.47500000000002</v>
      </c>
      <c r="F1017" s="424">
        <v>0</v>
      </c>
      <c r="G1017" s="424">
        <v>811.3</v>
      </c>
    </row>
    <row r="1018" spans="1:7">
      <c r="A1018" s="423" t="s">
        <v>1474</v>
      </c>
      <c r="B1018" s="424">
        <v>0</v>
      </c>
      <c r="C1018" s="424">
        <v>37.112000000000002</v>
      </c>
      <c r="D1018" s="424">
        <v>0</v>
      </c>
      <c r="E1018" s="424">
        <v>241.78899999999999</v>
      </c>
      <c r="F1018" s="424">
        <v>0</v>
      </c>
      <c r="G1018" s="424">
        <v>278.90100000000001</v>
      </c>
    </row>
    <row r="1019" spans="1:7">
      <c r="A1019" s="423" t="s">
        <v>703</v>
      </c>
      <c r="B1019" s="424">
        <v>0</v>
      </c>
      <c r="C1019" s="424">
        <v>100000</v>
      </c>
      <c r="D1019" s="424">
        <v>0</v>
      </c>
      <c r="E1019" s="424">
        <v>0</v>
      </c>
      <c r="F1019" s="424">
        <v>0</v>
      </c>
      <c r="G1019" s="424">
        <v>100000</v>
      </c>
    </row>
    <row r="1020" spans="1:7">
      <c r="A1020" s="423" t="s">
        <v>1480</v>
      </c>
      <c r="B1020" s="424">
        <v>0</v>
      </c>
      <c r="C1020" s="424">
        <v>0</v>
      </c>
      <c r="D1020" s="424">
        <v>0</v>
      </c>
      <c r="E1020" s="424">
        <v>17.61</v>
      </c>
      <c r="F1020" s="424">
        <v>0</v>
      </c>
      <c r="G1020" s="424">
        <v>17.61</v>
      </c>
    </row>
    <row r="1021" spans="1:7">
      <c r="A1021" s="423" t="s">
        <v>1491</v>
      </c>
      <c r="B1021" s="424">
        <v>0</v>
      </c>
      <c r="C1021" s="424">
        <v>33.770000000000003</v>
      </c>
      <c r="D1021" s="424">
        <v>0</v>
      </c>
      <c r="E1021" s="424">
        <v>0</v>
      </c>
      <c r="F1021" s="424">
        <v>0</v>
      </c>
      <c r="G1021" s="424">
        <v>33.770000000000003</v>
      </c>
    </row>
    <row r="1022" spans="1:7">
      <c r="A1022" s="423" t="s">
        <v>1493</v>
      </c>
      <c r="B1022" s="424">
        <v>0</v>
      </c>
      <c r="C1022" s="424">
        <v>20.701330000000002</v>
      </c>
      <c r="D1022" s="424">
        <v>0</v>
      </c>
      <c r="E1022" s="424">
        <v>0</v>
      </c>
      <c r="F1022" s="424">
        <v>0</v>
      </c>
      <c r="G1022" s="424">
        <v>20.701330000000002</v>
      </c>
    </row>
    <row r="1023" spans="1:7">
      <c r="A1023" s="423" t="s">
        <v>1494</v>
      </c>
      <c r="B1023" s="424">
        <v>0</v>
      </c>
      <c r="C1023" s="424">
        <v>444.17200000000003</v>
      </c>
      <c r="D1023" s="424">
        <v>0</v>
      </c>
      <c r="E1023" s="425">
        <v>-300.935</v>
      </c>
      <c r="F1023" s="424">
        <v>0</v>
      </c>
      <c r="G1023" s="424">
        <v>143.23699999999999</v>
      </c>
    </row>
    <row r="1024" spans="1:7">
      <c r="A1024" s="423" t="s">
        <v>1496</v>
      </c>
      <c r="B1024" s="424">
        <v>0</v>
      </c>
      <c r="C1024" s="424">
        <v>0</v>
      </c>
      <c r="D1024" s="424">
        <v>0</v>
      </c>
      <c r="E1024" s="424">
        <v>160</v>
      </c>
      <c r="F1024" s="424">
        <v>0</v>
      </c>
      <c r="G1024" s="424">
        <v>160</v>
      </c>
    </row>
    <row r="1025" spans="1:7">
      <c r="A1025" s="423" t="s">
        <v>1497</v>
      </c>
      <c r="B1025" s="424">
        <v>0</v>
      </c>
      <c r="C1025" s="424">
        <v>14.70002</v>
      </c>
      <c r="D1025" s="424">
        <v>0</v>
      </c>
      <c r="E1025" s="425">
        <v>-14.7</v>
      </c>
      <c r="F1025" s="424">
        <v>0</v>
      </c>
      <c r="G1025" s="424">
        <v>2.0000000000000002E-5</v>
      </c>
    </row>
    <row r="1026" spans="1:7">
      <c r="A1026" s="423" t="s">
        <v>1499</v>
      </c>
      <c r="B1026" s="424">
        <v>0</v>
      </c>
      <c r="C1026" s="424">
        <v>130.46</v>
      </c>
      <c r="D1026" s="424">
        <v>0</v>
      </c>
      <c r="E1026" s="424">
        <v>130.46</v>
      </c>
      <c r="F1026" s="424">
        <v>0</v>
      </c>
      <c r="G1026" s="424">
        <v>260.92</v>
      </c>
    </row>
    <row r="1027" spans="1:7">
      <c r="A1027" s="423" t="s">
        <v>1502</v>
      </c>
      <c r="B1027" s="424">
        <v>0</v>
      </c>
      <c r="C1027" s="424">
        <v>0</v>
      </c>
      <c r="D1027" s="424">
        <v>0</v>
      </c>
      <c r="E1027" s="424">
        <v>77.984999999999999</v>
      </c>
      <c r="F1027" s="424">
        <v>0</v>
      </c>
      <c r="G1027" s="424">
        <v>77.984999999999999</v>
      </c>
    </row>
    <row r="1028" spans="1:7">
      <c r="A1028" s="423" t="s">
        <v>1504</v>
      </c>
      <c r="B1028" s="424">
        <v>0</v>
      </c>
      <c r="C1028" s="424">
        <v>0</v>
      </c>
      <c r="D1028" s="424">
        <v>0</v>
      </c>
      <c r="E1028" s="424">
        <v>3818.58</v>
      </c>
      <c r="F1028" s="424">
        <v>0</v>
      </c>
      <c r="G1028" s="424">
        <v>3818.58</v>
      </c>
    </row>
    <row r="1029" spans="1:7">
      <c r="A1029" s="423" t="s">
        <v>1506</v>
      </c>
      <c r="B1029" s="424">
        <v>0</v>
      </c>
      <c r="C1029" s="424">
        <v>1462.5</v>
      </c>
      <c r="D1029" s="424">
        <v>0</v>
      </c>
      <c r="E1029" s="424">
        <v>437.5</v>
      </c>
      <c r="F1029" s="424">
        <v>0</v>
      </c>
      <c r="G1029" s="424">
        <v>1900</v>
      </c>
    </row>
    <row r="1030" spans="1:7">
      <c r="A1030" s="423" t="s">
        <v>1510</v>
      </c>
      <c r="B1030" s="424">
        <v>0</v>
      </c>
      <c r="C1030" s="424">
        <v>2655.6995000000002</v>
      </c>
      <c r="D1030" s="424">
        <v>0</v>
      </c>
      <c r="E1030" s="425">
        <v>-2655.6995000000002</v>
      </c>
      <c r="F1030" s="424">
        <v>0</v>
      </c>
      <c r="G1030" s="424">
        <v>0</v>
      </c>
    </row>
    <row r="1031" spans="1:7">
      <c r="A1031" s="423" t="s">
        <v>1514</v>
      </c>
      <c r="B1031" s="424">
        <v>0</v>
      </c>
      <c r="C1031" s="424">
        <v>289.7835</v>
      </c>
      <c r="D1031" s="424">
        <v>0</v>
      </c>
      <c r="E1031" s="424">
        <v>191.01650000000001</v>
      </c>
      <c r="F1031" s="424">
        <v>0</v>
      </c>
      <c r="G1031" s="424">
        <v>480.8</v>
      </c>
    </row>
    <row r="1032" spans="1:7">
      <c r="A1032" s="423" t="s">
        <v>1523</v>
      </c>
      <c r="B1032" s="424">
        <v>0</v>
      </c>
      <c r="C1032" s="424">
        <v>55</v>
      </c>
      <c r="D1032" s="424">
        <v>0</v>
      </c>
      <c r="E1032" s="424">
        <v>0</v>
      </c>
      <c r="F1032" s="424">
        <v>0</v>
      </c>
      <c r="G1032" s="424">
        <v>55</v>
      </c>
    </row>
    <row r="1033" spans="1:7">
      <c r="A1033" s="423" t="s">
        <v>1525</v>
      </c>
      <c r="B1033" s="424">
        <v>0</v>
      </c>
      <c r="C1033" s="424">
        <v>31.28</v>
      </c>
      <c r="D1033" s="424">
        <v>0</v>
      </c>
      <c r="E1033" s="424">
        <v>0</v>
      </c>
      <c r="F1033" s="424">
        <v>0</v>
      </c>
      <c r="G1033" s="424">
        <v>31.28</v>
      </c>
    </row>
    <row r="1034" spans="1:7">
      <c r="A1034" s="423" t="s">
        <v>1527</v>
      </c>
      <c r="B1034" s="424">
        <v>0</v>
      </c>
      <c r="C1034" s="424">
        <v>359.27499999999998</v>
      </c>
      <c r="D1034" s="424">
        <v>0</v>
      </c>
      <c r="E1034" s="424">
        <v>0</v>
      </c>
      <c r="F1034" s="424">
        <v>0</v>
      </c>
      <c r="G1034" s="424">
        <v>359.27499999999998</v>
      </c>
    </row>
    <row r="1035" spans="1:7">
      <c r="A1035" s="423" t="s">
        <v>1531</v>
      </c>
      <c r="B1035" s="424">
        <v>0</v>
      </c>
      <c r="C1035" s="424">
        <v>68.760000000000005</v>
      </c>
      <c r="D1035" s="424">
        <v>0</v>
      </c>
      <c r="E1035" s="424">
        <v>68.760000000000005</v>
      </c>
      <c r="F1035" s="424">
        <v>0</v>
      </c>
      <c r="G1035" s="424">
        <v>137.52000000000001</v>
      </c>
    </row>
    <row r="1036" spans="1:7">
      <c r="A1036" s="423" t="s">
        <v>1533</v>
      </c>
      <c r="B1036" s="424">
        <v>0</v>
      </c>
      <c r="C1036" s="424">
        <v>0</v>
      </c>
      <c r="D1036" s="424">
        <v>0</v>
      </c>
      <c r="E1036" s="424">
        <v>78.5</v>
      </c>
      <c r="F1036" s="424">
        <v>0</v>
      </c>
      <c r="G1036" s="424">
        <v>78.5</v>
      </c>
    </row>
    <row r="1037" spans="1:7">
      <c r="A1037" s="423" t="s">
        <v>2440</v>
      </c>
      <c r="B1037" s="424">
        <v>0</v>
      </c>
      <c r="C1037" s="424">
        <v>152</v>
      </c>
      <c r="D1037" s="424">
        <v>0</v>
      </c>
      <c r="E1037" s="425">
        <v>-152</v>
      </c>
      <c r="F1037" s="424">
        <v>0</v>
      </c>
      <c r="G1037" s="424">
        <v>0</v>
      </c>
    </row>
    <row r="1038" spans="1:7">
      <c r="A1038" s="423" t="s">
        <v>1540</v>
      </c>
      <c r="B1038" s="424">
        <v>0</v>
      </c>
      <c r="C1038" s="424">
        <v>0</v>
      </c>
      <c r="D1038" s="424">
        <v>0</v>
      </c>
      <c r="E1038" s="424">
        <v>799.36739999999998</v>
      </c>
      <c r="F1038" s="424">
        <v>0</v>
      </c>
      <c r="G1038" s="424">
        <v>799.36739999999998</v>
      </c>
    </row>
    <row r="1039" spans="1:7">
      <c r="A1039" s="423" t="s">
        <v>1551</v>
      </c>
      <c r="B1039" s="424">
        <v>0</v>
      </c>
      <c r="C1039" s="424">
        <v>23.390709999999999</v>
      </c>
      <c r="D1039" s="424">
        <v>0</v>
      </c>
      <c r="E1039" s="425">
        <v>-23.390709999999999</v>
      </c>
      <c r="F1039" s="424">
        <v>0</v>
      </c>
      <c r="G1039" s="424">
        <v>0</v>
      </c>
    </row>
    <row r="1040" spans="1:7">
      <c r="A1040" s="423" t="s">
        <v>1556</v>
      </c>
      <c r="B1040" s="424">
        <v>0</v>
      </c>
      <c r="C1040" s="424">
        <v>3091.5273099999999</v>
      </c>
      <c r="D1040" s="424">
        <v>0</v>
      </c>
      <c r="E1040" s="424">
        <v>3180.6819399999999</v>
      </c>
      <c r="F1040" s="424">
        <v>0</v>
      </c>
      <c r="G1040" s="424">
        <v>6272.2092499999999</v>
      </c>
    </row>
    <row r="1041" spans="1:7">
      <c r="A1041" s="423" t="s">
        <v>1557</v>
      </c>
      <c r="B1041" s="424">
        <v>0</v>
      </c>
      <c r="C1041" s="424">
        <v>6206</v>
      </c>
      <c r="D1041" s="424">
        <v>0</v>
      </c>
      <c r="E1041" s="425">
        <v>-6206</v>
      </c>
      <c r="F1041" s="424">
        <v>0</v>
      </c>
      <c r="G1041" s="424">
        <v>0</v>
      </c>
    </row>
    <row r="1042" spans="1:7">
      <c r="A1042" s="423" t="s">
        <v>1558</v>
      </c>
      <c r="B1042" s="424">
        <v>0</v>
      </c>
      <c r="C1042" s="424">
        <v>0</v>
      </c>
      <c r="D1042" s="424">
        <v>0</v>
      </c>
      <c r="E1042" s="424">
        <v>76.295509999999993</v>
      </c>
      <c r="F1042" s="424">
        <v>0</v>
      </c>
      <c r="G1042" s="424">
        <v>76.295509999999993</v>
      </c>
    </row>
    <row r="1043" spans="1:7">
      <c r="A1043" s="423" t="s">
        <v>1559</v>
      </c>
      <c r="B1043" s="424">
        <v>0</v>
      </c>
      <c r="C1043" s="424">
        <v>0</v>
      </c>
      <c r="D1043" s="424">
        <v>0</v>
      </c>
      <c r="E1043" s="424">
        <v>836.62426000000005</v>
      </c>
      <c r="F1043" s="424">
        <v>0</v>
      </c>
      <c r="G1043" s="424">
        <v>836.62426000000005</v>
      </c>
    </row>
    <row r="1044" spans="1:7">
      <c r="A1044" s="423" t="s">
        <v>1569</v>
      </c>
      <c r="B1044" s="424">
        <v>0</v>
      </c>
      <c r="C1044" s="424">
        <v>19.25</v>
      </c>
      <c r="D1044" s="424">
        <v>0</v>
      </c>
      <c r="E1044" s="424">
        <v>0</v>
      </c>
      <c r="F1044" s="424">
        <v>0</v>
      </c>
      <c r="G1044" s="424">
        <v>19.25</v>
      </c>
    </row>
    <row r="1045" spans="1:7">
      <c r="A1045" s="423" t="s">
        <v>1572</v>
      </c>
      <c r="B1045" s="424">
        <v>0</v>
      </c>
      <c r="C1045" s="424">
        <v>0</v>
      </c>
      <c r="D1045" s="424">
        <v>0</v>
      </c>
      <c r="E1045" s="424">
        <v>6.5000000000000002E-2</v>
      </c>
      <c r="F1045" s="424">
        <v>0</v>
      </c>
      <c r="G1045" s="424">
        <v>6.5000000000000002E-2</v>
      </c>
    </row>
    <row r="1046" spans="1:7">
      <c r="A1046" s="423" t="s">
        <v>1576</v>
      </c>
      <c r="B1046" s="424">
        <v>0</v>
      </c>
      <c r="C1046" s="424">
        <v>1220</v>
      </c>
      <c r="D1046" s="424">
        <v>0</v>
      </c>
      <c r="E1046" s="424">
        <v>640</v>
      </c>
      <c r="F1046" s="424">
        <v>0</v>
      </c>
      <c r="G1046" s="424">
        <v>1860</v>
      </c>
    </row>
    <row r="1047" spans="1:7">
      <c r="A1047" s="423" t="s">
        <v>1577</v>
      </c>
      <c r="B1047" s="424">
        <v>0</v>
      </c>
      <c r="C1047" s="424">
        <v>0</v>
      </c>
      <c r="D1047" s="424">
        <v>0</v>
      </c>
      <c r="E1047" s="424">
        <v>60</v>
      </c>
      <c r="F1047" s="424">
        <v>0</v>
      </c>
      <c r="G1047" s="424">
        <v>60</v>
      </c>
    </row>
    <row r="1048" spans="1:7">
      <c r="A1048" s="423" t="s">
        <v>1578</v>
      </c>
      <c r="B1048" s="424">
        <v>0</v>
      </c>
      <c r="C1048" s="424">
        <v>0</v>
      </c>
      <c r="D1048" s="424">
        <v>0</v>
      </c>
      <c r="E1048" s="424">
        <v>70</v>
      </c>
      <c r="F1048" s="424">
        <v>0</v>
      </c>
      <c r="G1048" s="424">
        <v>70</v>
      </c>
    </row>
    <row r="1049" spans="1:7">
      <c r="A1049" s="423" t="s">
        <v>1585</v>
      </c>
      <c r="B1049" s="424">
        <v>0</v>
      </c>
      <c r="C1049" s="424">
        <v>0</v>
      </c>
      <c r="D1049" s="424">
        <v>0</v>
      </c>
      <c r="E1049" s="424">
        <v>323.75</v>
      </c>
      <c r="F1049" s="424">
        <v>0</v>
      </c>
      <c r="G1049" s="424">
        <v>323.75</v>
      </c>
    </row>
    <row r="1050" spans="1:7">
      <c r="A1050" s="423" t="s">
        <v>1589</v>
      </c>
      <c r="B1050" s="424">
        <v>0</v>
      </c>
      <c r="C1050" s="424">
        <v>3520.26</v>
      </c>
      <c r="D1050" s="424">
        <v>0</v>
      </c>
      <c r="E1050" s="425">
        <v>-3520.26</v>
      </c>
      <c r="F1050" s="424">
        <v>0</v>
      </c>
      <c r="G1050" s="424">
        <v>0</v>
      </c>
    </row>
    <row r="1051" spans="1:7">
      <c r="A1051" s="423" t="s">
        <v>1591</v>
      </c>
      <c r="B1051" s="424">
        <v>0</v>
      </c>
      <c r="C1051" s="424">
        <v>0</v>
      </c>
      <c r="D1051" s="424">
        <v>0</v>
      </c>
      <c r="E1051" s="424">
        <v>1619.933</v>
      </c>
      <c r="F1051" s="424">
        <v>0</v>
      </c>
      <c r="G1051" s="424">
        <v>1619.933</v>
      </c>
    </row>
    <row r="1052" spans="1:7">
      <c r="A1052" s="423" t="s">
        <v>1592</v>
      </c>
      <c r="B1052" s="424">
        <v>0</v>
      </c>
      <c r="C1052" s="424">
        <v>161.23150000000001</v>
      </c>
      <c r="D1052" s="424">
        <v>0</v>
      </c>
      <c r="E1052" s="425">
        <v>-161.23150000000001</v>
      </c>
      <c r="F1052" s="424">
        <v>0</v>
      </c>
      <c r="G1052" s="424">
        <v>0</v>
      </c>
    </row>
    <row r="1053" spans="1:7">
      <c r="A1053" s="423" t="s">
        <v>1610</v>
      </c>
      <c r="B1053" s="424">
        <v>0</v>
      </c>
      <c r="C1053" s="424">
        <v>3200</v>
      </c>
      <c r="D1053" s="424">
        <v>0</v>
      </c>
      <c r="E1053" s="424">
        <v>0</v>
      </c>
      <c r="F1053" s="424">
        <v>0</v>
      </c>
      <c r="G1053" s="424">
        <v>3200</v>
      </c>
    </row>
    <row r="1054" spans="1:7">
      <c r="A1054" s="423" t="s">
        <v>985</v>
      </c>
      <c r="B1054" s="424">
        <v>0</v>
      </c>
      <c r="C1054" s="424">
        <v>239.99996999999999</v>
      </c>
      <c r="D1054" s="424">
        <v>0</v>
      </c>
      <c r="E1054" s="424">
        <v>0</v>
      </c>
      <c r="F1054" s="424">
        <v>0</v>
      </c>
      <c r="G1054" s="424">
        <v>239.99996999999999</v>
      </c>
    </row>
    <row r="1055" spans="1:7">
      <c r="A1055" s="423" t="s">
        <v>1616</v>
      </c>
      <c r="B1055" s="424">
        <v>0</v>
      </c>
      <c r="C1055" s="424">
        <v>1420</v>
      </c>
      <c r="D1055" s="424">
        <v>0</v>
      </c>
      <c r="E1055" s="425">
        <v>-760</v>
      </c>
      <c r="F1055" s="424">
        <v>0</v>
      </c>
      <c r="G1055" s="424">
        <v>660</v>
      </c>
    </row>
    <row r="1056" spans="1:7">
      <c r="A1056" s="423" t="s">
        <v>1621</v>
      </c>
      <c r="B1056" s="424">
        <v>0</v>
      </c>
      <c r="C1056" s="424">
        <v>20.062799999999999</v>
      </c>
      <c r="D1056" s="424">
        <v>0</v>
      </c>
      <c r="E1056" s="424">
        <v>0</v>
      </c>
      <c r="F1056" s="424">
        <v>0</v>
      </c>
      <c r="G1056" s="424">
        <v>20.062799999999999</v>
      </c>
    </row>
    <row r="1057" spans="1:7">
      <c r="A1057" s="423" t="s">
        <v>1629</v>
      </c>
      <c r="B1057" s="424">
        <v>0</v>
      </c>
      <c r="C1057" s="424">
        <v>23704</v>
      </c>
      <c r="D1057" s="424">
        <v>0</v>
      </c>
      <c r="E1057" s="424">
        <v>0</v>
      </c>
      <c r="F1057" s="424">
        <v>0</v>
      </c>
      <c r="G1057" s="424">
        <v>23704</v>
      </c>
    </row>
    <row r="1058" spans="1:7">
      <c r="A1058" s="423" t="s">
        <v>1631</v>
      </c>
      <c r="B1058" s="424">
        <v>0</v>
      </c>
      <c r="C1058" s="424">
        <v>371.07</v>
      </c>
      <c r="D1058" s="424">
        <v>0</v>
      </c>
      <c r="E1058" s="424">
        <v>2734.83</v>
      </c>
      <c r="F1058" s="424">
        <v>0</v>
      </c>
      <c r="G1058" s="424">
        <v>3105.9</v>
      </c>
    </row>
    <row r="1059" spans="1:7">
      <c r="A1059" s="423" t="s">
        <v>1633</v>
      </c>
      <c r="B1059" s="424">
        <v>0</v>
      </c>
      <c r="C1059" s="424">
        <v>75</v>
      </c>
      <c r="D1059" s="424">
        <v>0</v>
      </c>
      <c r="E1059" s="424">
        <v>225</v>
      </c>
      <c r="F1059" s="424">
        <v>0</v>
      </c>
      <c r="G1059" s="424">
        <v>300</v>
      </c>
    </row>
    <row r="1060" spans="1:7">
      <c r="A1060" s="423" t="s">
        <v>1634</v>
      </c>
      <c r="B1060" s="424">
        <v>0</v>
      </c>
      <c r="C1060" s="424">
        <v>178.1</v>
      </c>
      <c r="D1060" s="424">
        <v>0</v>
      </c>
      <c r="E1060" s="425">
        <v>-178.1</v>
      </c>
      <c r="F1060" s="424">
        <v>0</v>
      </c>
      <c r="G1060" s="424">
        <v>0</v>
      </c>
    </row>
    <row r="1061" spans="1:7">
      <c r="A1061" s="423" t="s">
        <v>1639</v>
      </c>
      <c r="B1061" s="424">
        <v>0</v>
      </c>
      <c r="C1061" s="424">
        <v>440.5</v>
      </c>
      <c r="D1061" s="424">
        <v>0</v>
      </c>
      <c r="E1061" s="424">
        <v>130.5</v>
      </c>
      <c r="F1061" s="424">
        <v>0</v>
      </c>
      <c r="G1061" s="424">
        <v>571</v>
      </c>
    </row>
    <row r="1062" spans="1:7">
      <c r="A1062" s="423" t="s">
        <v>1641</v>
      </c>
      <c r="B1062" s="424">
        <v>0</v>
      </c>
      <c r="C1062" s="424">
        <v>0</v>
      </c>
      <c r="D1062" s="424">
        <v>0</v>
      </c>
      <c r="E1062" s="424">
        <v>617.88</v>
      </c>
      <c r="F1062" s="424">
        <v>0</v>
      </c>
      <c r="G1062" s="424">
        <v>617.88</v>
      </c>
    </row>
    <row r="1063" spans="1:7">
      <c r="A1063" s="423" t="s">
        <v>1649</v>
      </c>
      <c r="B1063" s="424">
        <v>0</v>
      </c>
      <c r="C1063" s="424">
        <v>48.65</v>
      </c>
      <c r="D1063" s="424">
        <v>0</v>
      </c>
      <c r="E1063" s="424">
        <v>0</v>
      </c>
      <c r="F1063" s="424">
        <v>0</v>
      </c>
      <c r="G1063" s="424">
        <v>48.65</v>
      </c>
    </row>
    <row r="1064" spans="1:7">
      <c r="A1064" s="423" t="s">
        <v>2441</v>
      </c>
      <c r="B1064" s="424">
        <v>0</v>
      </c>
      <c r="C1064" s="424">
        <v>3500</v>
      </c>
      <c r="D1064" s="424">
        <v>0</v>
      </c>
      <c r="E1064" s="425">
        <v>-3500</v>
      </c>
      <c r="F1064" s="424">
        <v>0</v>
      </c>
      <c r="G1064" s="424">
        <v>0</v>
      </c>
    </row>
    <row r="1065" spans="1:7">
      <c r="A1065" s="423" t="s">
        <v>1654</v>
      </c>
      <c r="B1065" s="424">
        <v>0</v>
      </c>
      <c r="C1065" s="424">
        <v>1242.6024</v>
      </c>
      <c r="D1065" s="424">
        <v>0</v>
      </c>
      <c r="E1065" s="424">
        <v>0</v>
      </c>
      <c r="F1065" s="424">
        <v>0</v>
      </c>
      <c r="G1065" s="424">
        <v>1242.6024</v>
      </c>
    </row>
    <row r="1066" spans="1:7">
      <c r="A1066" s="423" t="s">
        <v>1655</v>
      </c>
      <c r="B1066" s="424">
        <v>0</v>
      </c>
      <c r="C1066" s="424">
        <v>89.6</v>
      </c>
      <c r="D1066" s="424">
        <v>0</v>
      </c>
      <c r="E1066" s="424">
        <v>0</v>
      </c>
      <c r="F1066" s="424">
        <v>0</v>
      </c>
      <c r="G1066" s="424">
        <v>89.6</v>
      </c>
    </row>
    <row r="1067" spans="1:7">
      <c r="A1067" s="423" t="s">
        <v>1656</v>
      </c>
      <c r="B1067" s="424">
        <v>0</v>
      </c>
      <c r="C1067" s="424">
        <v>0</v>
      </c>
      <c r="D1067" s="424">
        <v>0</v>
      </c>
      <c r="E1067" s="424">
        <v>55</v>
      </c>
      <c r="F1067" s="424">
        <v>0</v>
      </c>
      <c r="G1067" s="424">
        <v>55</v>
      </c>
    </row>
    <row r="1068" spans="1:7">
      <c r="A1068" s="423" t="s">
        <v>1664</v>
      </c>
      <c r="B1068" s="424">
        <v>0</v>
      </c>
      <c r="C1068" s="424">
        <v>3000</v>
      </c>
      <c r="D1068" s="424">
        <v>0</v>
      </c>
      <c r="E1068" s="425">
        <v>-2980</v>
      </c>
      <c r="F1068" s="424">
        <v>0</v>
      </c>
      <c r="G1068" s="424">
        <v>20</v>
      </c>
    </row>
    <row r="1069" spans="1:7">
      <c r="A1069" s="423" t="s">
        <v>1666</v>
      </c>
      <c r="B1069" s="424">
        <v>0</v>
      </c>
      <c r="C1069" s="424">
        <v>0</v>
      </c>
      <c r="D1069" s="424">
        <v>0</v>
      </c>
      <c r="E1069" s="424">
        <v>110.825</v>
      </c>
      <c r="F1069" s="424">
        <v>0</v>
      </c>
      <c r="G1069" s="424">
        <v>110.825</v>
      </c>
    </row>
    <row r="1070" spans="1:7">
      <c r="A1070" s="423" t="s">
        <v>1667</v>
      </c>
      <c r="B1070" s="424">
        <v>0</v>
      </c>
      <c r="C1070" s="424">
        <v>22.204999999999998</v>
      </c>
      <c r="D1070" s="424">
        <v>0</v>
      </c>
      <c r="E1070" s="424">
        <v>0</v>
      </c>
      <c r="F1070" s="424">
        <v>0</v>
      </c>
      <c r="G1070" s="424">
        <v>22.204999999999998</v>
      </c>
    </row>
    <row r="1071" spans="1:7">
      <c r="A1071" s="423" t="s">
        <v>1016</v>
      </c>
      <c r="B1071" s="424">
        <v>0</v>
      </c>
      <c r="C1071" s="424">
        <v>0</v>
      </c>
      <c r="D1071" s="424">
        <v>0</v>
      </c>
      <c r="E1071" s="424">
        <v>102</v>
      </c>
      <c r="F1071" s="424">
        <v>0</v>
      </c>
      <c r="G1071" s="424">
        <v>102</v>
      </c>
    </row>
    <row r="1072" spans="1:7">
      <c r="A1072" s="423" t="s">
        <v>1676</v>
      </c>
      <c r="B1072" s="424">
        <v>0</v>
      </c>
      <c r="C1072" s="424">
        <v>3375</v>
      </c>
      <c r="D1072" s="424">
        <v>0</v>
      </c>
      <c r="E1072" s="425">
        <v>-3375</v>
      </c>
      <c r="F1072" s="424">
        <v>0</v>
      </c>
      <c r="G1072" s="424">
        <v>0</v>
      </c>
    </row>
    <row r="1073" spans="1:7">
      <c r="A1073" s="423" t="s">
        <v>1679</v>
      </c>
      <c r="B1073" s="424">
        <v>0</v>
      </c>
      <c r="C1073" s="424">
        <v>4362.1605499999996</v>
      </c>
      <c r="D1073" s="424">
        <v>0</v>
      </c>
      <c r="E1073" s="425">
        <v>-4357.4105499999996</v>
      </c>
      <c r="F1073" s="424">
        <v>0</v>
      </c>
      <c r="G1073" s="424">
        <v>4.75</v>
      </c>
    </row>
    <row r="1074" spans="1:7">
      <c r="A1074" s="423" t="s">
        <v>1688</v>
      </c>
      <c r="B1074" s="424">
        <v>0</v>
      </c>
      <c r="C1074" s="424">
        <v>375</v>
      </c>
      <c r="D1074" s="424">
        <v>0</v>
      </c>
      <c r="E1074" s="425">
        <v>-375</v>
      </c>
      <c r="F1074" s="424">
        <v>0</v>
      </c>
      <c r="G1074" s="424">
        <v>0</v>
      </c>
    </row>
    <row r="1075" spans="1:7">
      <c r="A1075" s="423" t="s">
        <v>1689</v>
      </c>
      <c r="B1075" s="424">
        <v>0</v>
      </c>
      <c r="C1075" s="424">
        <v>0</v>
      </c>
      <c r="D1075" s="424">
        <v>0</v>
      </c>
      <c r="E1075" s="424">
        <v>802.5</v>
      </c>
      <c r="F1075" s="424">
        <v>0</v>
      </c>
      <c r="G1075" s="424">
        <v>802.5</v>
      </c>
    </row>
    <row r="1076" spans="1:7">
      <c r="A1076" s="423" t="s">
        <v>1690</v>
      </c>
      <c r="B1076" s="424">
        <v>0</v>
      </c>
      <c r="C1076" s="424">
        <v>481.5</v>
      </c>
      <c r="D1076" s="424">
        <v>0</v>
      </c>
      <c r="E1076" s="424">
        <v>3682</v>
      </c>
      <c r="F1076" s="424">
        <v>0</v>
      </c>
      <c r="G1076" s="424">
        <v>4163.5</v>
      </c>
    </row>
    <row r="1077" spans="1:7">
      <c r="A1077" s="423" t="s">
        <v>1694</v>
      </c>
      <c r="B1077" s="424">
        <v>0</v>
      </c>
      <c r="C1077" s="424">
        <v>60.258029999999998</v>
      </c>
      <c r="D1077" s="424">
        <v>0</v>
      </c>
      <c r="E1077" s="424">
        <v>0</v>
      </c>
      <c r="F1077" s="424">
        <v>0</v>
      </c>
      <c r="G1077" s="424">
        <v>60.258029999999998</v>
      </c>
    </row>
    <row r="1078" spans="1:7">
      <c r="A1078" s="423" t="s">
        <v>1696</v>
      </c>
      <c r="B1078" s="424">
        <v>0</v>
      </c>
      <c r="C1078" s="424">
        <v>15689.275</v>
      </c>
      <c r="D1078" s="424">
        <v>0</v>
      </c>
      <c r="E1078" s="425">
        <v>-9471.4065600000013</v>
      </c>
      <c r="F1078" s="424">
        <v>0</v>
      </c>
      <c r="G1078" s="424">
        <v>6217.8684400000002</v>
      </c>
    </row>
    <row r="1079" spans="1:7">
      <c r="A1079" s="423" t="s">
        <v>1701</v>
      </c>
      <c r="B1079" s="424">
        <v>0</v>
      </c>
      <c r="C1079" s="424">
        <v>224.45</v>
      </c>
      <c r="D1079" s="424">
        <v>0</v>
      </c>
      <c r="E1079" s="424">
        <v>0</v>
      </c>
      <c r="F1079" s="424">
        <v>0</v>
      </c>
      <c r="G1079" s="424">
        <v>224.45</v>
      </c>
    </row>
    <row r="1080" spans="1:7">
      <c r="A1080" s="423" t="s">
        <v>1707</v>
      </c>
      <c r="B1080" s="424">
        <v>0</v>
      </c>
      <c r="C1080" s="424">
        <v>630.75801000000001</v>
      </c>
      <c r="D1080" s="424">
        <v>0</v>
      </c>
      <c r="E1080" s="424">
        <v>422.37792999999999</v>
      </c>
      <c r="F1080" s="424">
        <v>0</v>
      </c>
      <c r="G1080" s="424">
        <v>1053.1359399999999</v>
      </c>
    </row>
    <row r="1081" spans="1:7">
      <c r="A1081" s="423" t="s">
        <v>1708</v>
      </c>
      <c r="B1081" s="424">
        <v>0</v>
      </c>
      <c r="C1081" s="424">
        <v>0</v>
      </c>
      <c r="D1081" s="424">
        <v>0</v>
      </c>
      <c r="E1081" s="424">
        <v>131.25</v>
      </c>
      <c r="F1081" s="424">
        <v>0</v>
      </c>
      <c r="G1081" s="424">
        <v>131.25</v>
      </c>
    </row>
    <row r="1082" spans="1:7">
      <c r="A1082" s="423" t="s">
        <v>1712</v>
      </c>
      <c r="B1082" s="424">
        <v>0</v>
      </c>
      <c r="C1082" s="424">
        <v>250</v>
      </c>
      <c r="D1082" s="424">
        <v>0</v>
      </c>
      <c r="E1082" s="424">
        <v>74.400000000000006</v>
      </c>
      <c r="F1082" s="424">
        <v>0</v>
      </c>
      <c r="G1082" s="424">
        <v>324.39999999999998</v>
      </c>
    </row>
    <row r="1083" spans="1:7">
      <c r="A1083" s="423" t="s">
        <v>1714</v>
      </c>
      <c r="B1083" s="424">
        <v>0</v>
      </c>
      <c r="C1083" s="424">
        <v>86.14</v>
      </c>
      <c r="D1083" s="424">
        <v>0</v>
      </c>
      <c r="E1083" s="425">
        <v>-86.14</v>
      </c>
      <c r="F1083" s="424">
        <v>0</v>
      </c>
      <c r="G1083" s="424">
        <v>0</v>
      </c>
    </row>
    <row r="1084" spans="1:7">
      <c r="A1084" s="423" t="s">
        <v>1717</v>
      </c>
      <c r="B1084" s="424">
        <v>0</v>
      </c>
      <c r="C1084" s="424">
        <v>20</v>
      </c>
      <c r="D1084" s="424">
        <v>0</v>
      </c>
      <c r="E1084" s="424">
        <v>0</v>
      </c>
      <c r="F1084" s="424">
        <v>0</v>
      </c>
      <c r="G1084" s="424">
        <v>20</v>
      </c>
    </row>
    <row r="1085" spans="1:7">
      <c r="A1085" s="423" t="s">
        <v>1724</v>
      </c>
      <c r="B1085" s="424">
        <v>0</v>
      </c>
      <c r="C1085" s="424">
        <v>0</v>
      </c>
      <c r="D1085" s="424">
        <v>0</v>
      </c>
      <c r="E1085" s="424">
        <v>31.177499999999998</v>
      </c>
      <c r="F1085" s="424">
        <v>0</v>
      </c>
      <c r="G1085" s="424">
        <v>31.177499999999998</v>
      </c>
    </row>
    <row r="1086" spans="1:7">
      <c r="A1086" s="423" t="s">
        <v>1728</v>
      </c>
      <c r="B1086" s="424">
        <v>0</v>
      </c>
      <c r="C1086" s="424">
        <v>17</v>
      </c>
      <c r="D1086" s="424">
        <v>0</v>
      </c>
      <c r="E1086" s="424">
        <v>0</v>
      </c>
      <c r="F1086" s="424">
        <v>0</v>
      </c>
      <c r="G1086" s="424">
        <v>17</v>
      </c>
    </row>
    <row r="1087" spans="1:7">
      <c r="A1087" s="423" t="s">
        <v>1729</v>
      </c>
      <c r="B1087" s="424">
        <v>0</v>
      </c>
      <c r="C1087" s="424">
        <v>405.4</v>
      </c>
      <c r="D1087" s="424">
        <v>0</v>
      </c>
      <c r="E1087" s="424">
        <v>0</v>
      </c>
      <c r="F1087" s="424">
        <v>0</v>
      </c>
      <c r="G1087" s="424">
        <v>405.4</v>
      </c>
    </row>
    <row r="1088" spans="1:7">
      <c r="A1088" s="423" t="s">
        <v>1730</v>
      </c>
      <c r="B1088" s="424">
        <v>0</v>
      </c>
      <c r="C1088" s="424">
        <v>20.498939999999997</v>
      </c>
      <c r="D1088" s="424">
        <v>0</v>
      </c>
      <c r="E1088" s="425">
        <v>-20.498939999999997</v>
      </c>
      <c r="F1088" s="424">
        <v>0</v>
      </c>
      <c r="G1088" s="424">
        <v>0</v>
      </c>
    </row>
    <row r="1089" spans="1:7">
      <c r="A1089" s="423" t="s">
        <v>1735</v>
      </c>
      <c r="B1089" s="424">
        <v>0</v>
      </c>
      <c r="C1089" s="424">
        <v>60</v>
      </c>
      <c r="D1089" s="424">
        <v>0</v>
      </c>
      <c r="E1089" s="424">
        <v>35</v>
      </c>
      <c r="F1089" s="424">
        <v>0</v>
      </c>
      <c r="G1089" s="424">
        <v>95</v>
      </c>
    </row>
    <row r="1090" spans="1:7">
      <c r="A1090" s="423" t="s">
        <v>1744</v>
      </c>
      <c r="B1090" s="424">
        <v>0</v>
      </c>
      <c r="C1090" s="424">
        <v>23.234400000000001</v>
      </c>
      <c r="D1090" s="424">
        <v>0</v>
      </c>
      <c r="E1090" s="425">
        <v>-23.234400000000001</v>
      </c>
      <c r="F1090" s="424">
        <v>0</v>
      </c>
      <c r="G1090" s="424">
        <v>0</v>
      </c>
    </row>
    <row r="1091" spans="1:7">
      <c r="A1091" s="423" t="s">
        <v>1749</v>
      </c>
      <c r="B1091" s="424">
        <v>0</v>
      </c>
      <c r="C1091" s="424">
        <v>0</v>
      </c>
      <c r="D1091" s="424">
        <v>0</v>
      </c>
      <c r="E1091" s="424">
        <v>107.37217</v>
      </c>
      <c r="F1091" s="424">
        <v>0</v>
      </c>
      <c r="G1091" s="424">
        <v>107.37217</v>
      </c>
    </row>
    <row r="1092" spans="1:7">
      <c r="A1092" s="423" t="s">
        <v>1751</v>
      </c>
      <c r="B1092" s="424">
        <v>0</v>
      </c>
      <c r="C1092" s="424">
        <v>314.08032000000003</v>
      </c>
      <c r="D1092" s="424">
        <v>0</v>
      </c>
      <c r="E1092" s="425">
        <v>-68.08032</v>
      </c>
      <c r="F1092" s="424">
        <v>0</v>
      </c>
      <c r="G1092" s="424">
        <v>246</v>
      </c>
    </row>
    <row r="1093" spans="1:7">
      <c r="A1093" s="423" t="s">
        <v>1752</v>
      </c>
      <c r="B1093" s="424">
        <v>0</v>
      </c>
      <c r="C1093" s="424">
        <v>14.861000000000001</v>
      </c>
      <c r="D1093" s="424">
        <v>0</v>
      </c>
      <c r="E1093" s="424">
        <v>0</v>
      </c>
      <c r="F1093" s="424">
        <v>0</v>
      </c>
      <c r="G1093" s="424">
        <v>14.861000000000001</v>
      </c>
    </row>
    <row r="1094" spans="1:7">
      <c r="A1094" s="423" t="s">
        <v>1057</v>
      </c>
      <c r="B1094" s="424">
        <v>0</v>
      </c>
      <c r="C1094" s="424">
        <v>4208.7337099999995</v>
      </c>
      <c r="D1094" s="424">
        <v>0</v>
      </c>
      <c r="E1094" s="424">
        <v>22011.95739</v>
      </c>
      <c r="F1094" s="424">
        <v>0</v>
      </c>
      <c r="G1094" s="424">
        <v>26220.6911</v>
      </c>
    </row>
    <row r="1095" spans="1:7">
      <c r="A1095" s="423" t="s">
        <v>1758</v>
      </c>
      <c r="B1095" s="424">
        <v>0</v>
      </c>
      <c r="C1095" s="424">
        <v>732.45675000000006</v>
      </c>
      <c r="D1095" s="424">
        <v>0</v>
      </c>
      <c r="E1095" s="425">
        <v>-643.22635000000002</v>
      </c>
      <c r="F1095" s="424">
        <v>0</v>
      </c>
      <c r="G1095" s="424">
        <v>89.230399999999989</v>
      </c>
    </row>
    <row r="1096" spans="1:7">
      <c r="A1096" s="423" t="s">
        <v>1763</v>
      </c>
      <c r="B1096" s="424">
        <v>0</v>
      </c>
      <c r="C1096" s="424">
        <v>9.4</v>
      </c>
      <c r="D1096" s="424">
        <v>0</v>
      </c>
      <c r="E1096" s="424">
        <v>0</v>
      </c>
      <c r="F1096" s="424">
        <v>0</v>
      </c>
      <c r="G1096" s="424">
        <v>9.4</v>
      </c>
    </row>
    <row r="1097" spans="1:7">
      <c r="A1097" s="423" t="s">
        <v>1766</v>
      </c>
      <c r="B1097" s="424">
        <v>0</v>
      </c>
      <c r="C1097" s="424">
        <v>60</v>
      </c>
      <c r="D1097" s="424">
        <v>0</v>
      </c>
      <c r="E1097" s="424">
        <v>60</v>
      </c>
      <c r="F1097" s="424">
        <v>0</v>
      </c>
      <c r="G1097" s="424">
        <v>120</v>
      </c>
    </row>
    <row r="1098" spans="1:7">
      <c r="A1098" s="423" t="s">
        <v>1767</v>
      </c>
      <c r="B1098" s="424">
        <v>0</v>
      </c>
      <c r="C1098" s="424">
        <v>5088</v>
      </c>
      <c r="D1098" s="424">
        <v>0</v>
      </c>
      <c r="E1098" s="425">
        <v>-5088</v>
      </c>
      <c r="F1098" s="424">
        <v>0</v>
      </c>
      <c r="G1098" s="424">
        <v>0</v>
      </c>
    </row>
    <row r="1099" spans="1:7">
      <c r="A1099" s="423" t="s">
        <v>1769</v>
      </c>
      <c r="B1099" s="424">
        <v>0</v>
      </c>
      <c r="C1099" s="424">
        <v>154</v>
      </c>
      <c r="D1099" s="424">
        <v>0</v>
      </c>
      <c r="E1099" s="424">
        <v>0</v>
      </c>
      <c r="F1099" s="424">
        <v>0</v>
      </c>
      <c r="G1099" s="424">
        <v>154</v>
      </c>
    </row>
    <row r="1100" spans="1:7">
      <c r="A1100" s="423" t="s">
        <v>1770</v>
      </c>
      <c r="B1100" s="424">
        <v>0</v>
      </c>
      <c r="C1100" s="424">
        <v>133.69999999999999</v>
      </c>
      <c r="D1100" s="424">
        <v>0</v>
      </c>
      <c r="E1100" s="424">
        <v>729</v>
      </c>
      <c r="F1100" s="424">
        <v>0</v>
      </c>
      <c r="G1100" s="424">
        <v>862.7</v>
      </c>
    </row>
    <row r="1101" spans="1:7">
      <c r="A1101" s="423" t="s">
        <v>1773</v>
      </c>
      <c r="B1101" s="424">
        <v>0</v>
      </c>
      <c r="C1101" s="424">
        <v>348.6</v>
      </c>
      <c r="D1101" s="424">
        <v>0</v>
      </c>
      <c r="E1101" s="424">
        <v>0</v>
      </c>
      <c r="F1101" s="424">
        <v>0</v>
      </c>
      <c r="G1101" s="424">
        <v>348.6</v>
      </c>
    </row>
    <row r="1102" spans="1:7">
      <c r="A1102" s="423" t="s">
        <v>1776</v>
      </c>
      <c r="B1102" s="424">
        <v>0</v>
      </c>
      <c r="C1102" s="424">
        <v>0</v>
      </c>
      <c r="D1102" s="424">
        <v>0</v>
      </c>
      <c r="E1102" s="424">
        <v>625.74</v>
      </c>
      <c r="F1102" s="424">
        <v>0</v>
      </c>
      <c r="G1102" s="424">
        <v>625.74</v>
      </c>
    </row>
    <row r="1103" spans="1:7">
      <c r="A1103" s="423" t="s">
        <v>1794</v>
      </c>
      <c r="B1103" s="424">
        <v>0</v>
      </c>
      <c r="C1103" s="424">
        <v>184</v>
      </c>
      <c r="D1103" s="424">
        <v>0</v>
      </c>
      <c r="E1103" s="424">
        <v>0</v>
      </c>
      <c r="F1103" s="424">
        <v>0</v>
      </c>
      <c r="G1103" s="424">
        <v>184</v>
      </c>
    </row>
    <row r="1104" spans="1:7">
      <c r="A1104" s="423" t="s">
        <v>1795</v>
      </c>
      <c r="B1104" s="424">
        <v>0</v>
      </c>
      <c r="C1104" s="424">
        <v>0</v>
      </c>
      <c r="D1104" s="424">
        <v>0</v>
      </c>
      <c r="E1104" s="424">
        <v>157.24799999999999</v>
      </c>
      <c r="F1104" s="424">
        <v>0</v>
      </c>
      <c r="G1104" s="424">
        <v>157.24799999999999</v>
      </c>
    </row>
    <row r="1105" spans="1:7">
      <c r="A1105" s="423" t="s">
        <v>1796</v>
      </c>
      <c r="B1105" s="424">
        <v>0</v>
      </c>
      <c r="C1105" s="424">
        <v>583.34208000000001</v>
      </c>
      <c r="D1105" s="424">
        <v>0</v>
      </c>
      <c r="E1105" s="424">
        <v>0</v>
      </c>
      <c r="F1105" s="424">
        <v>0</v>
      </c>
      <c r="G1105" s="424">
        <v>583.34208000000001</v>
      </c>
    </row>
    <row r="1106" spans="1:7">
      <c r="A1106" s="423" t="s">
        <v>1801</v>
      </c>
      <c r="B1106" s="424">
        <v>0</v>
      </c>
      <c r="C1106" s="424">
        <v>20</v>
      </c>
      <c r="D1106" s="424">
        <v>0</v>
      </c>
      <c r="E1106" s="424">
        <v>0</v>
      </c>
      <c r="F1106" s="424">
        <v>0</v>
      </c>
      <c r="G1106" s="424">
        <v>20</v>
      </c>
    </row>
    <row r="1107" spans="1:7">
      <c r="A1107" s="423" t="s">
        <v>1803</v>
      </c>
      <c r="B1107" s="424">
        <v>0</v>
      </c>
      <c r="C1107" s="424">
        <v>0</v>
      </c>
      <c r="D1107" s="424">
        <v>0</v>
      </c>
      <c r="E1107" s="424">
        <v>126.27827000000001</v>
      </c>
      <c r="F1107" s="424">
        <v>0</v>
      </c>
      <c r="G1107" s="424">
        <v>126.27827000000001</v>
      </c>
    </row>
    <row r="1108" spans="1:7">
      <c r="A1108" s="423" t="s">
        <v>1101</v>
      </c>
      <c r="B1108" s="424">
        <v>0</v>
      </c>
      <c r="C1108" s="424">
        <v>0</v>
      </c>
      <c r="D1108" s="424">
        <v>0</v>
      </c>
      <c r="E1108" s="424">
        <v>2494.9720000000002</v>
      </c>
      <c r="F1108" s="424">
        <v>0</v>
      </c>
      <c r="G1108" s="424">
        <v>2494.9720000000002</v>
      </c>
    </row>
    <row r="1109" spans="1:7">
      <c r="A1109" s="423" t="s">
        <v>1807</v>
      </c>
      <c r="B1109" s="424">
        <v>0</v>
      </c>
      <c r="C1109" s="424">
        <v>10</v>
      </c>
      <c r="D1109" s="424">
        <v>0</v>
      </c>
      <c r="E1109" s="424">
        <v>0</v>
      </c>
      <c r="F1109" s="424">
        <v>0</v>
      </c>
      <c r="G1109" s="424">
        <v>10</v>
      </c>
    </row>
    <row r="1110" spans="1:7">
      <c r="A1110" s="423" t="s">
        <v>1817</v>
      </c>
      <c r="B1110" s="424">
        <v>0</v>
      </c>
      <c r="C1110" s="424">
        <v>252.60749999999999</v>
      </c>
      <c r="D1110" s="424">
        <v>0</v>
      </c>
      <c r="E1110" s="424">
        <v>252.60749999999999</v>
      </c>
      <c r="F1110" s="424">
        <v>0</v>
      </c>
      <c r="G1110" s="424">
        <v>505.21499999999997</v>
      </c>
    </row>
    <row r="1111" spans="1:7">
      <c r="A1111" s="423" t="s">
        <v>1818</v>
      </c>
      <c r="B1111" s="424">
        <v>0</v>
      </c>
      <c r="C1111" s="424">
        <v>0</v>
      </c>
      <c r="D1111" s="424">
        <v>0</v>
      </c>
      <c r="E1111" s="424">
        <v>332.16750000000002</v>
      </c>
      <c r="F1111" s="424">
        <v>0</v>
      </c>
      <c r="G1111" s="424">
        <v>332.16750000000002</v>
      </c>
    </row>
    <row r="1112" spans="1:7">
      <c r="A1112" s="423" t="s">
        <v>1831</v>
      </c>
      <c r="B1112" s="424">
        <v>0</v>
      </c>
      <c r="C1112" s="424">
        <v>0</v>
      </c>
      <c r="D1112" s="424">
        <v>0</v>
      </c>
      <c r="E1112" s="424">
        <v>37.914000000000001</v>
      </c>
      <c r="F1112" s="424">
        <v>0</v>
      </c>
      <c r="G1112" s="424">
        <v>37.914000000000001</v>
      </c>
    </row>
    <row r="1113" spans="1:7">
      <c r="A1113" s="423" t="s">
        <v>1833</v>
      </c>
      <c r="B1113" s="424">
        <v>0</v>
      </c>
      <c r="C1113" s="424">
        <v>269.95999999999998</v>
      </c>
      <c r="D1113" s="424">
        <v>0</v>
      </c>
      <c r="E1113" s="424">
        <v>1802.6279999999999</v>
      </c>
      <c r="F1113" s="424">
        <v>0</v>
      </c>
      <c r="G1113" s="424">
        <v>2072.5880000000002</v>
      </c>
    </row>
    <row r="1114" spans="1:7">
      <c r="A1114" s="423" t="s">
        <v>1836</v>
      </c>
      <c r="B1114" s="424">
        <v>0</v>
      </c>
      <c r="C1114" s="424">
        <v>0</v>
      </c>
      <c r="D1114" s="424">
        <v>0</v>
      </c>
      <c r="E1114" s="424">
        <v>0.85</v>
      </c>
      <c r="F1114" s="424">
        <v>0</v>
      </c>
      <c r="G1114" s="424">
        <v>0.85</v>
      </c>
    </row>
    <row r="1115" spans="1:7">
      <c r="A1115" s="423" t="s">
        <v>1843</v>
      </c>
      <c r="B1115" s="424">
        <v>0</v>
      </c>
      <c r="C1115" s="424">
        <v>273</v>
      </c>
      <c r="D1115" s="424">
        <v>0</v>
      </c>
      <c r="E1115" s="425">
        <v>-273</v>
      </c>
      <c r="F1115" s="424">
        <v>0</v>
      </c>
      <c r="G1115" s="424">
        <v>0</v>
      </c>
    </row>
    <row r="1116" spans="1:7">
      <c r="A1116" s="423" t="s">
        <v>1844</v>
      </c>
      <c r="B1116" s="424">
        <v>0</v>
      </c>
      <c r="C1116" s="424">
        <v>58.37424</v>
      </c>
      <c r="D1116" s="424">
        <v>0</v>
      </c>
      <c r="E1116" s="424">
        <v>4.6257600000000005</v>
      </c>
      <c r="F1116" s="424">
        <v>0</v>
      </c>
      <c r="G1116" s="424">
        <v>63</v>
      </c>
    </row>
    <row r="1117" spans="1:7">
      <c r="A1117" s="423" t="s">
        <v>1846</v>
      </c>
      <c r="B1117" s="424">
        <v>0</v>
      </c>
      <c r="C1117" s="424">
        <v>533.75</v>
      </c>
      <c r="D1117" s="424">
        <v>0</v>
      </c>
      <c r="E1117" s="424">
        <v>1601.25</v>
      </c>
      <c r="F1117" s="424">
        <v>0</v>
      </c>
      <c r="G1117" s="424">
        <v>2135</v>
      </c>
    </row>
    <row r="1118" spans="1:7">
      <c r="A1118" s="423" t="s">
        <v>1847</v>
      </c>
      <c r="B1118" s="424">
        <v>0</v>
      </c>
      <c r="C1118" s="424">
        <v>150</v>
      </c>
      <c r="D1118" s="424">
        <v>0</v>
      </c>
      <c r="E1118" s="424">
        <v>0</v>
      </c>
      <c r="F1118" s="424">
        <v>0</v>
      </c>
      <c r="G1118" s="424">
        <v>150</v>
      </c>
    </row>
    <row r="1119" spans="1:7">
      <c r="A1119" s="423" t="s">
        <v>1854</v>
      </c>
      <c r="B1119" s="424">
        <v>0</v>
      </c>
      <c r="C1119" s="424">
        <v>90</v>
      </c>
      <c r="D1119" s="424">
        <v>0</v>
      </c>
      <c r="E1119" s="424">
        <v>0</v>
      </c>
      <c r="F1119" s="424">
        <v>0</v>
      </c>
      <c r="G1119" s="424">
        <v>90</v>
      </c>
    </row>
    <row r="1120" spans="1:7">
      <c r="A1120" s="423" t="s">
        <v>1855</v>
      </c>
      <c r="B1120" s="424">
        <v>0</v>
      </c>
      <c r="C1120" s="424">
        <v>0</v>
      </c>
      <c r="D1120" s="424">
        <v>0</v>
      </c>
      <c r="E1120" s="424">
        <v>1</v>
      </c>
      <c r="F1120" s="424">
        <v>0</v>
      </c>
      <c r="G1120" s="424">
        <v>1</v>
      </c>
    </row>
    <row r="1121" spans="1:7">
      <c r="A1121" s="423" t="s">
        <v>1859</v>
      </c>
      <c r="B1121" s="424">
        <v>0</v>
      </c>
      <c r="C1121" s="424">
        <v>7250</v>
      </c>
      <c r="D1121" s="424">
        <v>0</v>
      </c>
      <c r="E1121" s="425">
        <v>-7250</v>
      </c>
      <c r="F1121" s="424">
        <v>0</v>
      </c>
      <c r="G1121" s="424">
        <v>0</v>
      </c>
    </row>
    <row r="1122" spans="1:7">
      <c r="A1122" s="423" t="s">
        <v>1860</v>
      </c>
      <c r="B1122" s="424">
        <v>0</v>
      </c>
      <c r="C1122" s="424">
        <v>1.8117300000000001</v>
      </c>
      <c r="D1122" s="424">
        <v>0</v>
      </c>
      <c r="E1122" s="425">
        <v>-8.6940000000000003E-2</v>
      </c>
      <c r="F1122" s="424">
        <v>0</v>
      </c>
      <c r="G1122" s="424">
        <v>1.72479</v>
      </c>
    </row>
    <row r="1123" spans="1:7">
      <c r="A1123" s="423" t="s">
        <v>1875</v>
      </c>
      <c r="B1123" s="424">
        <v>0</v>
      </c>
      <c r="C1123" s="424">
        <v>0</v>
      </c>
      <c r="D1123" s="424">
        <v>0</v>
      </c>
      <c r="E1123" s="424">
        <v>200</v>
      </c>
      <c r="F1123" s="424">
        <v>0</v>
      </c>
      <c r="G1123" s="424">
        <v>200</v>
      </c>
    </row>
    <row r="1124" spans="1:7">
      <c r="A1124" s="423" t="s">
        <v>1881</v>
      </c>
      <c r="B1124" s="424">
        <v>0</v>
      </c>
      <c r="C1124" s="424">
        <v>700</v>
      </c>
      <c r="D1124" s="424">
        <v>0</v>
      </c>
      <c r="E1124" s="425">
        <v>-699.98656999999992</v>
      </c>
      <c r="F1124" s="424">
        <v>0</v>
      </c>
      <c r="G1124" s="424">
        <v>1.3429999999999999E-2</v>
      </c>
    </row>
    <row r="1125" spans="1:7">
      <c r="A1125" s="423" t="s">
        <v>1883</v>
      </c>
      <c r="B1125" s="424">
        <v>0</v>
      </c>
      <c r="C1125" s="424">
        <v>0</v>
      </c>
      <c r="D1125" s="424">
        <v>0</v>
      </c>
      <c r="E1125" s="424">
        <v>172.2825</v>
      </c>
      <c r="F1125" s="424">
        <v>0</v>
      </c>
      <c r="G1125" s="424">
        <v>172.2825</v>
      </c>
    </row>
    <row r="1126" spans="1:7">
      <c r="A1126" s="423" t="s">
        <v>1884</v>
      </c>
      <c r="B1126" s="424">
        <v>0</v>
      </c>
      <c r="C1126" s="424">
        <v>380.8</v>
      </c>
      <c r="D1126" s="424">
        <v>0</v>
      </c>
      <c r="E1126" s="424">
        <v>0</v>
      </c>
      <c r="F1126" s="424">
        <v>0</v>
      </c>
      <c r="G1126" s="424">
        <v>380.8</v>
      </c>
    </row>
    <row r="1127" spans="1:7">
      <c r="A1127" s="423" t="s">
        <v>1886</v>
      </c>
      <c r="B1127" s="424">
        <v>0</v>
      </c>
      <c r="C1127" s="424">
        <v>1078.1600000000001</v>
      </c>
      <c r="D1127" s="424">
        <v>0</v>
      </c>
      <c r="E1127" s="425">
        <v>-1078.1600000000001</v>
      </c>
      <c r="F1127" s="424">
        <v>0</v>
      </c>
      <c r="G1127" s="424">
        <v>0</v>
      </c>
    </row>
    <row r="1128" spans="1:7">
      <c r="A1128" s="423" t="s">
        <v>1890</v>
      </c>
      <c r="B1128" s="424">
        <v>0</v>
      </c>
      <c r="C1128" s="424">
        <v>665.22</v>
      </c>
      <c r="D1128" s="424">
        <v>0</v>
      </c>
      <c r="E1128" s="424">
        <v>2027.61</v>
      </c>
      <c r="F1128" s="424">
        <v>0</v>
      </c>
      <c r="G1128" s="424">
        <v>2692.83</v>
      </c>
    </row>
  </sheetData>
  <mergeCells count="41">
    <mergeCell ref="B910:C910"/>
    <mergeCell ref="D910:E910"/>
    <mergeCell ref="F910:G910"/>
    <mergeCell ref="A911:A912"/>
    <mergeCell ref="B911:B912"/>
    <mergeCell ref="C911:C912"/>
    <mergeCell ref="D911:D912"/>
    <mergeCell ref="E911:E912"/>
    <mergeCell ref="F911:F912"/>
    <mergeCell ref="G911:G912"/>
    <mergeCell ref="A101:A102"/>
    <mergeCell ref="B101:B102"/>
    <mergeCell ref="C101:C102"/>
    <mergeCell ref="D101:D102"/>
    <mergeCell ref="E101:E102"/>
    <mergeCell ref="B100:C100"/>
    <mergeCell ref="D100:E100"/>
    <mergeCell ref="F100:G100"/>
    <mergeCell ref="F101:F102"/>
    <mergeCell ref="G101:G102"/>
    <mergeCell ref="B5:C5"/>
    <mergeCell ref="D5:E5"/>
    <mergeCell ref="F5:G5"/>
    <mergeCell ref="H5:H7"/>
    <mergeCell ref="A6:A7"/>
    <mergeCell ref="B6:B7"/>
    <mergeCell ref="C6:C7"/>
    <mergeCell ref="D6:D7"/>
    <mergeCell ref="E6:E7"/>
    <mergeCell ref="F6:F7"/>
    <mergeCell ref="A82:A83"/>
    <mergeCell ref="B82:B83"/>
    <mergeCell ref="C82:C83"/>
    <mergeCell ref="D82:D83"/>
    <mergeCell ref="E82:E83"/>
    <mergeCell ref="G82:G83"/>
    <mergeCell ref="G6:G7"/>
    <mergeCell ref="B81:C81"/>
    <mergeCell ref="D81:E81"/>
    <mergeCell ref="F81:G81"/>
    <mergeCell ref="F82:F8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zoomScale="80" zoomScaleNormal="80" workbookViewId="0">
      <selection activeCell="K3" sqref="K3:S22"/>
    </sheetView>
  </sheetViews>
  <sheetFormatPr defaultColWidth="8.7109375" defaultRowHeight="12"/>
  <cols>
    <col min="1" max="5" width="8.7109375" style="133"/>
    <col min="6" max="6" width="12.42578125" style="133" customWidth="1"/>
    <col min="7" max="7" width="8.7109375" style="133"/>
    <col min="8" max="8" width="12" style="133" customWidth="1"/>
    <col min="9" max="9" width="8.7109375" style="133"/>
    <col min="10" max="11" width="10.5703125" style="133" bestFit="1" customWidth="1"/>
    <col min="12" max="12" width="8.7109375" style="133"/>
    <col min="13" max="13" width="11" style="133" bestFit="1" customWidth="1"/>
    <col min="14" max="16384" width="8.7109375" style="133"/>
  </cols>
  <sheetData>
    <row r="2" spans="1:19">
      <c r="A2" s="132">
        <v>10</v>
      </c>
      <c r="B2" s="132" t="s">
        <v>717</v>
      </c>
    </row>
    <row r="3" spans="1:19" s="173" customFormat="1" ht="24">
      <c r="F3" s="174" t="s">
        <v>3218</v>
      </c>
      <c r="G3" s="172"/>
      <c r="H3" s="174" t="s">
        <v>677</v>
      </c>
      <c r="J3" s="681"/>
      <c r="K3" s="133"/>
      <c r="L3" s="133"/>
      <c r="M3" s="133"/>
      <c r="N3" s="133"/>
      <c r="O3" s="133"/>
      <c r="P3" s="133"/>
      <c r="Q3" s="133"/>
      <c r="R3" s="133"/>
      <c r="S3" s="133"/>
    </row>
    <row r="4" spans="1:19">
      <c r="B4" s="132" t="s">
        <v>721</v>
      </c>
      <c r="J4" s="669"/>
    </row>
    <row r="5" spans="1:19">
      <c r="B5" s="133" t="s">
        <v>718</v>
      </c>
      <c r="F5" s="134">
        <v>8902875</v>
      </c>
      <c r="H5" s="134">
        <v>1621734</v>
      </c>
      <c r="J5" s="559"/>
    </row>
    <row r="6" spans="1:19">
      <c r="B6" s="133" t="s">
        <v>719</v>
      </c>
      <c r="F6" s="134">
        <v>0</v>
      </c>
      <c r="H6" s="134">
        <v>7976</v>
      </c>
      <c r="J6" s="559"/>
    </row>
    <row r="7" spans="1:19">
      <c r="B7" s="133" t="s">
        <v>720</v>
      </c>
      <c r="F7" s="134">
        <v>-373205</v>
      </c>
      <c r="H7" s="134">
        <v>-506179</v>
      </c>
      <c r="J7" s="559"/>
    </row>
    <row r="8" spans="1:19" ht="12.75" thickBot="1">
      <c r="F8" s="136">
        <f>SUM(F5:F7)</f>
        <v>8529670</v>
      </c>
      <c r="H8" s="136">
        <f>SUM(H5:H7)</f>
        <v>1123531</v>
      </c>
      <c r="J8" s="559"/>
    </row>
    <row r="9" spans="1:19" s="175" customFormat="1" ht="12.75" thickTop="1">
      <c r="B9" s="135"/>
      <c r="F9" s="176">
        <f>F8-ББ!D16</f>
        <v>0</v>
      </c>
      <c r="H9" s="176">
        <f>H8-ББ!F16</f>
        <v>0</v>
      </c>
      <c r="J9" s="669"/>
      <c r="K9" s="133"/>
      <c r="L9" s="133"/>
      <c r="M9" s="133"/>
      <c r="N9" s="133"/>
      <c r="O9" s="133"/>
      <c r="P9" s="133"/>
      <c r="Q9" s="133"/>
      <c r="R9" s="133"/>
      <c r="S9" s="133"/>
    </row>
    <row r="10" spans="1:19">
      <c r="B10" s="135"/>
      <c r="J10" s="669"/>
    </row>
    <row r="11" spans="1:19" ht="24">
      <c r="F11" s="174" t="s">
        <v>3218</v>
      </c>
      <c r="G11" s="172"/>
      <c r="H11" s="174" t="s">
        <v>677</v>
      </c>
      <c r="J11" s="669"/>
    </row>
    <row r="12" spans="1:19">
      <c r="B12" s="132" t="s">
        <v>722</v>
      </c>
      <c r="J12" s="669"/>
    </row>
    <row r="13" spans="1:19">
      <c r="B13" s="133" t="s">
        <v>723</v>
      </c>
      <c r="F13" s="134">
        <v>2290307</v>
      </c>
      <c r="H13" s="134">
        <v>1999869</v>
      </c>
      <c r="J13" s="559"/>
    </row>
    <row r="14" spans="1:19">
      <c r="B14" s="133" t="s">
        <v>724</v>
      </c>
      <c r="F14" s="134">
        <v>-212916</v>
      </c>
      <c r="H14" s="134">
        <v>-286752</v>
      </c>
      <c r="J14" s="559"/>
    </row>
    <row r="15" spans="1:19" ht="12.75" thickBot="1">
      <c r="F15" s="136">
        <f>SUM(F13:F14)</f>
        <v>2077391</v>
      </c>
      <c r="H15" s="136">
        <f>SUM(H13:H14)</f>
        <v>1713117</v>
      </c>
      <c r="J15" s="559"/>
    </row>
    <row r="16" spans="1:19" ht="12.75" thickTop="1">
      <c r="B16" s="135"/>
      <c r="F16" s="176">
        <f>F15-ББ!D27</f>
        <v>0</v>
      </c>
      <c r="G16" s="175"/>
      <c r="H16" s="176">
        <f>H15-ББ!F27</f>
        <v>0</v>
      </c>
      <c r="J16" s="558"/>
    </row>
    <row r="17" spans="10:10">
      <c r="J17" s="558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F6"/>
  <sheetViews>
    <sheetView zoomScale="80" zoomScaleNormal="80" workbookViewId="0">
      <selection activeCell="D4" sqref="D4"/>
    </sheetView>
  </sheetViews>
  <sheetFormatPr defaultColWidth="8.7109375" defaultRowHeight="12.75"/>
  <cols>
    <col min="1" max="3" width="8.7109375" style="2"/>
    <col min="4" max="4" width="13.28515625" style="2" customWidth="1"/>
    <col min="5" max="5" width="2.85546875" style="66" customWidth="1"/>
    <col min="6" max="6" width="12.140625" style="2" customWidth="1"/>
    <col min="7" max="16384" width="8.7109375" style="2"/>
  </cols>
  <sheetData>
    <row r="2" spans="1:6">
      <c r="A2" s="1">
        <v>11</v>
      </c>
      <c r="B2" s="1" t="s">
        <v>2038</v>
      </c>
    </row>
    <row r="3" spans="1:6" s="215" customFormat="1" ht="25.5">
      <c r="D3" s="217" t="s">
        <v>677</v>
      </c>
      <c r="E3" s="227"/>
      <c r="F3" s="217" t="s">
        <v>677</v>
      </c>
    </row>
    <row r="4" spans="1:6">
      <c r="B4" s="2" t="s">
        <v>2039</v>
      </c>
      <c r="D4" s="41" t="e">
        <f>ROUND(ББ!#REF!,0)</f>
        <v>#REF!</v>
      </c>
      <c r="E4" s="68"/>
      <c r="F4" s="41">
        <v>65739</v>
      </c>
    </row>
    <row r="5" spans="1:6" ht="13.5" thickBot="1">
      <c r="D5" s="42" t="e">
        <f>SUM(D4)</f>
        <v>#REF!</v>
      </c>
      <c r="E5" s="65"/>
      <c r="F5" s="42">
        <f>SUM(F4)</f>
        <v>65739</v>
      </c>
    </row>
    <row r="6" spans="1:6" s="218" customFormat="1" ht="13.5" thickTop="1">
      <c r="B6" s="135" t="s">
        <v>43</v>
      </c>
      <c r="D6" s="62" t="e">
        <f>ББ!#REF!-D5</f>
        <v>#REF!</v>
      </c>
      <c r="E6" s="633"/>
      <c r="F6" s="62">
        <f>F5-ББ!F18</f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zoomScale="80" zoomScaleNormal="80" workbookViewId="0">
      <selection activeCell="H3" sqref="H3:M13"/>
    </sheetView>
  </sheetViews>
  <sheetFormatPr defaultColWidth="8.7109375" defaultRowHeight="12.75"/>
  <cols>
    <col min="1" max="1" width="8.85546875" style="2" bestFit="1" customWidth="1"/>
    <col min="2" max="3" width="8.7109375" style="2"/>
    <col min="4" max="4" width="22" style="2" customWidth="1"/>
    <col min="5" max="5" width="10.5703125" style="2" bestFit="1" customWidth="1"/>
    <col min="6" max="6" width="20.140625" style="2" customWidth="1"/>
    <col min="7" max="7" width="10.5703125" style="2" bestFit="1" customWidth="1"/>
    <col min="8" max="8" width="10" style="2" bestFit="1" customWidth="1"/>
    <col min="9" max="16384" width="8.7109375" style="2"/>
  </cols>
  <sheetData>
    <row r="2" spans="1:13" s="1" customFormat="1">
      <c r="A2" s="1">
        <v>11</v>
      </c>
      <c r="B2" s="1" t="s">
        <v>2025</v>
      </c>
    </row>
    <row r="3" spans="1:13">
      <c r="G3" s="674"/>
      <c r="H3" s="673"/>
      <c r="I3" s="673"/>
      <c r="J3" s="673"/>
      <c r="K3" s="673"/>
      <c r="L3" s="673"/>
    </row>
    <row r="4" spans="1:13" s="215" customFormat="1">
      <c r="D4" s="174" t="s">
        <v>3218</v>
      </c>
      <c r="E4" s="209"/>
      <c r="F4" s="217" t="s">
        <v>677</v>
      </c>
      <c r="G4" s="562"/>
      <c r="H4" s="2"/>
      <c r="I4" s="2"/>
      <c r="J4" s="2"/>
      <c r="K4" s="2"/>
      <c r="L4" s="2"/>
      <c r="M4" s="2"/>
    </row>
    <row r="5" spans="1:13" s="554" customFormat="1">
      <c r="B5" s="2" t="s">
        <v>2019</v>
      </c>
      <c r="C5" s="2"/>
      <c r="D5" s="41">
        <v>11516921</v>
      </c>
      <c r="E5" s="2"/>
      <c r="F5" s="41">
        <v>8251040</v>
      </c>
      <c r="G5" s="674"/>
      <c r="H5" s="2"/>
      <c r="I5" s="2"/>
      <c r="J5" s="2"/>
      <c r="K5" s="2"/>
      <c r="L5" s="2"/>
      <c r="M5" s="2"/>
    </row>
    <row r="6" spans="1:13" s="582" customFormat="1">
      <c r="B6" s="2" t="s">
        <v>2018</v>
      </c>
      <c r="C6" s="2"/>
      <c r="D6" s="41">
        <v>9194474</v>
      </c>
      <c r="E6" s="41"/>
      <c r="F6" s="41">
        <v>6361040</v>
      </c>
      <c r="G6" s="674"/>
      <c r="H6" s="2"/>
      <c r="I6" s="2"/>
      <c r="J6" s="2"/>
      <c r="K6" s="2"/>
      <c r="L6" s="2"/>
      <c r="M6" s="2"/>
    </row>
    <row r="7" spans="1:13" s="582" customFormat="1">
      <c r="B7" s="2" t="s">
        <v>2958</v>
      </c>
      <c r="C7" s="2"/>
      <c r="D7" s="41">
        <v>8818410</v>
      </c>
      <c r="E7" s="41"/>
      <c r="F7" s="41">
        <v>5939339</v>
      </c>
      <c r="G7" s="674"/>
      <c r="H7" s="2"/>
      <c r="I7" s="2"/>
      <c r="J7" s="2"/>
      <c r="K7" s="2"/>
      <c r="L7" s="2"/>
      <c r="M7" s="2"/>
    </row>
    <row r="8" spans="1:13" ht="13.5" thickBot="1">
      <c r="D8" s="42">
        <f>SUM(D5:D7)</f>
        <v>29529805</v>
      </c>
      <c r="F8" s="42">
        <f>SUM(F5:F7)</f>
        <v>20551419</v>
      </c>
      <c r="G8" s="674"/>
    </row>
    <row r="9" spans="1:13" ht="13.5" thickTop="1">
      <c r="C9" s="61"/>
      <c r="D9" s="62">
        <f>D8-ББ!D22</f>
        <v>0</v>
      </c>
      <c r="F9" s="62">
        <f>F8-ББ!F22</f>
        <v>0</v>
      </c>
      <c r="G9" s="674"/>
    </row>
    <row r="10" spans="1:13">
      <c r="G10" s="674"/>
    </row>
    <row r="11" spans="1:13">
      <c r="D11" s="41"/>
      <c r="F11" s="41"/>
      <c r="G11" s="41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zoomScale="80" zoomScaleNormal="80" workbookViewId="0">
      <selection activeCell="F9" sqref="F9"/>
    </sheetView>
  </sheetViews>
  <sheetFormatPr defaultColWidth="8.7109375" defaultRowHeight="12.75"/>
  <cols>
    <col min="1" max="3" width="8.7109375" style="2"/>
    <col min="4" max="4" width="25.42578125" style="2" customWidth="1"/>
    <col min="5" max="5" width="10.85546875" style="2" customWidth="1"/>
    <col min="6" max="6" width="8.7109375" style="2"/>
    <col min="7" max="7" width="11" style="2" customWidth="1"/>
    <col min="8" max="8" width="10.5703125" style="2" bestFit="1" customWidth="1"/>
    <col min="9" max="9" width="11.42578125" style="2" bestFit="1" customWidth="1"/>
    <col min="10" max="10" width="9.42578125" style="2" bestFit="1" customWidth="1"/>
    <col min="11" max="11" width="10.7109375" style="2" bestFit="1" customWidth="1"/>
    <col min="12" max="13" width="10.5703125" style="2" bestFit="1" customWidth="1"/>
    <col min="14" max="16384" width="8.7109375" style="2"/>
  </cols>
  <sheetData>
    <row r="2" spans="1:16">
      <c r="A2" s="1">
        <v>12</v>
      </c>
      <c r="B2" s="1" t="s">
        <v>2024</v>
      </c>
    </row>
    <row r="4" spans="1:16" s="215" customFormat="1" ht="25.5">
      <c r="E4" s="217" t="s">
        <v>3218</v>
      </c>
      <c r="F4" s="209"/>
      <c r="G4" s="217" t="s">
        <v>677</v>
      </c>
      <c r="I4" s="562"/>
      <c r="J4" s="562"/>
      <c r="K4" s="562"/>
      <c r="L4" s="562"/>
      <c r="M4" s="562"/>
      <c r="N4" s="664"/>
      <c r="O4" s="664"/>
      <c r="P4" s="664"/>
    </row>
    <row r="5" spans="1:16" s="582" customFormat="1">
      <c r="B5" s="559" t="s">
        <v>3162</v>
      </c>
      <c r="E5" s="227"/>
      <c r="F5" s="788"/>
      <c r="G5" s="227"/>
      <c r="I5" s="562"/>
      <c r="J5" s="562"/>
      <c r="K5" s="562"/>
      <c r="L5" s="562"/>
      <c r="M5" s="562"/>
      <c r="N5" s="664"/>
      <c r="O5" s="664"/>
      <c r="P5" s="664"/>
    </row>
    <row r="6" spans="1:16" s="582" customFormat="1">
      <c r="B6" s="787" t="s">
        <v>2026</v>
      </c>
      <c r="E6" s="790">
        <v>231394</v>
      </c>
      <c r="F6" s="788"/>
      <c r="G6" s="790">
        <v>231394</v>
      </c>
      <c r="I6" s="562"/>
      <c r="J6" s="562"/>
      <c r="K6" s="562"/>
      <c r="L6" s="562"/>
      <c r="M6" s="562"/>
      <c r="N6" s="664"/>
      <c r="O6" s="664"/>
      <c r="P6" s="664"/>
    </row>
    <row r="7" spans="1:16" s="582" customFormat="1">
      <c r="B7" s="789" t="s">
        <v>3163</v>
      </c>
      <c r="E7" s="227"/>
      <c r="F7" s="788"/>
      <c r="G7" s="227"/>
      <c r="J7" s="562"/>
      <c r="K7" s="562"/>
      <c r="L7" s="562"/>
      <c r="M7" s="562"/>
      <c r="N7" s="664"/>
      <c r="O7" s="664"/>
      <c r="P7" s="664"/>
    </row>
    <row r="8" spans="1:16" s="582" customFormat="1">
      <c r="B8" s="2" t="s">
        <v>2027</v>
      </c>
      <c r="C8" s="2"/>
      <c r="D8" s="2"/>
      <c r="E8" s="41">
        <v>2707992</v>
      </c>
      <c r="F8" s="2"/>
      <c r="G8" s="41">
        <v>793315</v>
      </c>
      <c r="J8" s="562"/>
      <c r="K8" s="562"/>
      <c r="L8" s="562"/>
      <c r="M8" s="562"/>
      <c r="N8" s="664"/>
      <c r="O8" s="664"/>
      <c r="P8" s="664"/>
    </row>
    <row r="9" spans="1:16" s="582" customFormat="1">
      <c r="B9" s="2" t="s">
        <v>2028</v>
      </c>
      <c r="C9" s="2"/>
      <c r="D9" s="2"/>
      <c r="E9" s="41">
        <v>528988</v>
      </c>
      <c r="F9" s="2"/>
      <c r="G9" s="41">
        <v>547629</v>
      </c>
      <c r="H9" s="41"/>
      <c r="J9" s="562"/>
      <c r="K9" s="562"/>
      <c r="L9" s="562"/>
      <c r="M9" s="562"/>
      <c r="N9" s="664"/>
      <c r="O9" s="664"/>
      <c r="P9" s="664"/>
    </row>
    <row r="10" spans="1:16" s="582" customFormat="1">
      <c r="B10" s="2" t="s">
        <v>2026</v>
      </c>
      <c r="C10" s="2"/>
      <c r="D10" s="2"/>
      <c r="E10" s="41">
        <v>548584</v>
      </c>
      <c r="F10" s="2"/>
      <c r="G10" s="41">
        <v>772689</v>
      </c>
      <c r="I10" s="703"/>
      <c r="J10" s="560"/>
      <c r="K10" s="562"/>
      <c r="L10" s="635"/>
      <c r="M10" s="635"/>
      <c r="N10" s="664"/>
      <c r="O10" s="664"/>
      <c r="P10" s="664"/>
    </row>
    <row r="11" spans="1:16" ht="13.5" thickBot="1">
      <c r="E11" s="42">
        <f>SUM(E6:E10)</f>
        <v>4016958</v>
      </c>
      <c r="G11" s="42">
        <f>SUM(G6:G10)</f>
        <v>2345027</v>
      </c>
      <c r="I11" s="646"/>
      <c r="J11" s="560"/>
      <c r="K11" s="635"/>
      <c r="L11" s="635"/>
      <c r="M11" s="635"/>
      <c r="N11" s="68"/>
      <c r="O11" s="673"/>
      <c r="P11" s="673"/>
    </row>
    <row r="12" spans="1:16" ht="13.5" thickTop="1">
      <c r="I12" s="557"/>
      <c r="J12" s="560"/>
      <c r="K12" s="560"/>
      <c r="L12" s="563"/>
      <c r="M12" s="674"/>
      <c r="N12" s="673"/>
      <c r="O12" s="673"/>
      <c r="P12" s="673"/>
    </row>
    <row r="13" spans="1:16">
      <c r="B13" s="2" t="s">
        <v>3174</v>
      </c>
      <c r="E13" s="41">
        <v>-813896</v>
      </c>
      <c r="G13" s="41">
        <v>-722333</v>
      </c>
      <c r="I13" s="646"/>
      <c r="J13" s="560"/>
      <c r="K13" s="635"/>
      <c r="L13" s="635"/>
      <c r="M13" s="635"/>
      <c r="N13" s="68"/>
      <c r="O13" s="673"/>
      <c r="P13" s="673"/>
    </row>
    <row r="14" spans="1:16" ht="13.5" thickBot="1">
      <c r="B14" s="1" t="s">
        <v>338</v>
      </c>
      <c r="E14" s="42">
        <f>E13+E11</f>
        <v>3203062</v>
      </c>
      <c r="G14" s="42">
        <f>G13+G11</f>
        <v>1622694</v>
      </c>
      <c r="I14" s="646"/>
      <c r="J14" s="560"/>
      <c r="K14" s="635"/>
      <c r="L14" s="635"/>
      <c r="M14" s="635"/>
      <c r="N14" s="68"/>
      <c r="O14" s="673"/>
      <c r="P14" s="673"/>
    </row>
    <row r="15" spans="1:16" s="218" customFormat="1" ht="13.5" thickTop="1">
      <c r="B15" s="61"/>
      <c r="E15" s="62">
        <f>E14-ББ!D25</f>
        <v>0</v>
      </c>
      <c r="G15" s="62">
        <f>G14-ББ!F25</f>
        <v>0</v>
      </c>
      <c r="I15" s="123"/>
      <c r="J15" s="123"/>
      <c r="K15" s="123"/>
      <c r="L15" s="123"/>
      <c r="M15" s="123"/>
      <c r="N15" s="633"/>
      <c r="O15" s="633"/>
      <c r="P15" s="633"/>
    </row>
  </sheetData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0" zoomScaleNormal="80" workbookViewId="0">
      <selection activeCell="A3" sqref="A3"/>
    </sheetView>
  </sheetViews>
  <sheetFormatPr defaultColWidth="8.7109375" defaultRowHeight="12"/>
  <cols>
    <col min="1" max="3" width="8.7109375" style="221"/>
    <col min="4" max="4" width="13.140625" style="221" customWidth="1"/>
    <col min="5" max="5" width="8.7109375" style="221"/>
    <col min="6" max="6" width="11.85546875" style="221" customWidth="1"/>
    <col min="7" max="16384" width="8.7109375" style="221"/>
  </cols>
  <sheetData>
    <row r="2" spans="1:14">
      <c r="A2" s="222">
        <v>13</v>
      </c>
      <c r="B2" s="222" t="s">
        <v>2034</v>
      </c>
    </row>
    <row r="4" spans="1:14" s="223" customFormat="1" ht="25.5">
      <c r="D4" s="217" t="s">
        <v>3218</v>
      </c>
      <c r="E4" s="209"/>
      <c r="F4" s="217" t="s">
        <v>677</v>
      </c>
      <c r="H4" s="659"/>
      <c r="I4" s="659"/>
      <c r="J4" s="659"/>
      <c r="K4" s="659"/>
      <c r="L4" s="659"/>
      <c r="M4" s="659"/>
      <c r="N4" s="659"/>
    </row>
    <row r="5" spans="1:14">
      <c r="A5" s="221" t="s">
        <v>2031</v>
      </c>
      <c r="D5" s="224">
        <v>1161281</v>
      </c>
      <c r="F5" s="224">
        <v>1161281</v>
      </c>
      <c r="H5" s="559"/>
      <c r="I5" s="724"/>
      <c r="J5" s="565"/>
      <c r="K5" s="566"/>
      <c r="L5" s="566"/>
      <c r="M5" s="565"/>
      <c r="N5" s="565"/>
    </row>
    <row r="6" spans="1:14">
      <c r="A6" s="221" t="s">
        <v>2032</v>
      </c>
      <c r="D6" s="224">
        <v>34339</v>
      </c>
      <c r="F6" s="224">
        <v>90302</v>
      </c>
      <c r="H6" s="559"/>
      <c r="I6" s="724"/>
      <c r="J6" s="565"/>
      <c r="K6" s="566"/>
      <c r="L6" s="566"/>
      <c r="M6" s="565"/>
      <c r="N6" s="565"/>
    </row>
    <row r="7" spans="1:14" ht="12.75" thickBot="1">
      <c r="D7" s="225">
        <f>SUM(D5:D6)</f>
        <v>1195620</v>
      </c>
      <c r="F7" s="225">
        <f>SUM(F5:F6)</f>
        <v>1251583</v>
      </c>
      <c r="H7" s="559"/>
      <c r="I7" s="724"/>
      <c r="J7" s="565"/>
      <c r="K7" s="566"/>
      <c r="L7" s="566"/>
      <c r="M7" s="565"/>
      <c r="N7" s="565"/>
    </row>
    <row r="8" spans="1:14" ht="12.75" thickTop="1">
      <c r="F8" s="224"/>
      <c r="H8" s="559"/>
      <c r="I8" s="724"/>
      <c r="J8" s="565"/>
      <c r="K8" s="565"/>
      <c r="L8" s="565"/>
      <c r="M8" s="565"/>
      <c r="N8" s="565"/>
    </row>
    <row r="9" spans="1:14">
      <c r="A9" s="221" t="s">
        <v>2033</v>
      </c>
      <c r="D9" s="224">
        <v>-1161281</v>
      </c>
      <c r="F9" s="224">
        <v>-1161281</v>
      </c>
      <c r="H9" s="559"/>
      <c r="I9" s="724"/>
      <c r="J9" s="565"/>
      <c r="K9" s="566"/>
      <c r="L9" s="566"/>
      <c r="M9" s="565"/>
      <c r="N9" s="565"/>
    </row>
    <row r="10" spans="1:14" ht="12.75" thickBot="1">
      <c r="D10" s="225">
        <f>D9+D7</f>
        <v>34339</v>
      </c>
      <c r="F10" s="225">
        <f>F9+F7</f>
        <v>90302</v>
      </c>
      <c r="H10" s="559"/>
      <c r="I10" s="724"/>
      <c r="J10" s="565"/>
      <c r="K10" s="566"/>
      <c r="L10" s="566"/>
      <c r="M10" s="565"/>
      <c r="N10" s="565"/>
    </row>
    <row r="11" spans="1:14" ht="12.75" thickTop="1">
      <c r="C11" s="254"/>
      <c r="D11" s="265">
        <f>D10-ББ!D26</f>
        <v>0</v>
      </c>
      <c r="F11" s="265">
        <f>F10-ББ!F26</f>
        <v>0</v>
      </c>
      <c r="H11" s="565"/>
      <c r="I11" s="565"/>
      <c r="J11" s="565"/>
      <c r="K11" s="565"/>
      <c r="L11" s="565"/>
      <c r="M11" s="565"/>
      <c r="N11" s="565"/>
    </row>
    <row r="12" spans="1:14">
      <c r="H12" s="565"/>
      <c r="I12" s="565"/>
      <c r="J12" s="565"/>
      <c r="K12" s="565"/>
      <c r="L12" s="565"/>
      <c r="M12" s="565"/>
      <c r="N12" s="565"/>
    </row>
    <row r="13" spans="1:14">
      <c r="H13" s="565"/>
      <c r="I13" s="565"/>
      <c r="J13" s="565"/>
      <c r="K13" s="565"/>
      <c r="L13" s="565"/>
      <c r="M13" s="565"/>
      <c r="N13" s="565"/>
    </row>
    <row r="14" spans="1:14">
      <c r="H14" s="565"/>
      <c r="I14" s="565"/>
      <c r="J14" s="565"/>
      <c r="K14" s="565"/>
      <c r="L14" s="565"/>
      <c r="M14" s="565"/>
      <c r="N14" s="565"/>
    </row>
    <row r="15" spans="1:14">
      <c r="H15" s="565"/>
      <c r="I15" s="565"/>
      <c r="J15" s="565"/>
      <c r="K15" s="565"/>
      <c r="L15" s="565"/>
      <c r="M15" s="565"/>
      <c r="N15" s="565"/>
    </row>
    <row r="16" spans="1:14">
      <c r="H16" s="565"/>
      <c r="I16" s="565"/>
      <c r="J16" s="565"/>
      <c r="K16" s="565"/>
      <c r="L16" s="565"/>
      <c r="M16" s="565"/>
      <c r="N16" s="565"/>
    </row>
    <row r="17" spans="8:14">
      <c r="H17" s="658"/>
      <c r="I17" s="658"/>
      <c r="J17" s="658"/>
      <c r="K17" s="658"/>
      <c r="L17" s="658"/>
      <c r="M17" s="658"/>
      <c r="N17" s="65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0" zoomScaleNormal="80" workbookViewId="0">
      <selection activeCell="A3" sqref="A3"/>
    </sheetView>
  </sheetViews>
  <sheetFormatPr defaultColWidth="8.7109375" defaultRowHeight="15"/>
  <cols>
    <col min="1" max="2" width="8.7109375" style="7"/>
    <col min="3" max="3" width="38.5703125" style="7" customWidth="1"/>
    <col min="4" max="4" width="13.140625" style="7" customWidth="1"/>
    <col min="5" max="5" width="8.7109375" style="7"/>
    <col min="6" max="6" width="12.85546875" style="7" customWidth="1"/>
    <col min="7" max="7" width="8.7109375" style="7"/>
    <col min="8" max="8" width="28.42578125" style="7" customWidth="1"/>
    <col min="9" max="9" width="9.28515625" style="7" bestFit="1" customWidth="1"/>
    <col min="10" max="10" width="10.42578125" style="7" bestFit="1" customWidth="1"/>
    <col min="11" max="16384" width="8.7109375" style="7"/>
  </cols>
  <sheetData>
    <row r="2" spans="1:14">
      <c r="A2" s="125">
        <v>14</v>
      </c>
      <c r="B2" s="124" t="s">
        <v>24</v>
      </c>
    </row>
    <row r="4" spans="1:14" s="899" customFormat="1" ht="30">
      <c r="D4" s="271" t="s">
        <v>3218</v>
      </c>
      <c r="E4" s="268"/>
      <c r="F4" s="271" t="s">
        <v>677</v>
      </c>
      <c r="H4" s="900"/>
      <c r="I4" s="901"/>
      <c r="J4" s="901"/>
      <c r="K4" s="901"/>
      <c r="L4" s="901"/>
      <c r="M4" s="901"/>
      <c r="N4" s="901"/>
    </row>
    <row r="5" spans="1:14" s="899" customFormat="1">
      <c r="B5" s="7" t="s">
        <v>2035</v>
      </c>
      <c r="C5" s="7"/>
      <c r="D5" s="902">
        <v>3669295</v>
      </c>
      <c r="E5" s="7"/>
      <c r="F5" s="239">
        <v>6733269</v>
      </c>
      <c r="H5" s="900"/>
      <c r="I5" s="901"/>
      <c r="J5" s="901"/>
      <c r="K5" s="901"/>
      <c r="L5" s="901"/>
      <c r="M5" s="901"/>
      <c r="N5" s="901"/>
    </row>
    <row r="6" spans="1:14">
      <c r="B6" s="7" t="s">
        <v>472</v>
      </c>
      <c r="D6" s="902">
        <v>2518157</v>
      </c>
      <c r="F6" s="239">
        <v>11897598</v>
      </c>
      <c r="H6" s="794"/>
      <c r="I6" s="793"/>
      <c r="J6" s="794"/>
      <c r="K6" s="704"/>
      <c r="L6" s="706"/>
      <c r="M6" s="706"/>
      <c r="N6" s="648"/>
    </row>
    <row r="7" spans="1:14">
      <c r="B7" s="7" t="s">
        <v>2037</v>
      </c>
      <c r="D7" s="902">
        <v>9171</v>
      </c>
      <c r="F7" s="239">
        <v>5680</v>
      </c>
      <c r="H7" s="794"/>
      <c r="I7" s="793"/>
      <c r="J7" s="794"/>
      <c r="K7" s="704"/>
      <c r="L7" s="706"/>
      <c r="M7" s="706"/>
      <c r="N7" s="648"/>
    </row>
    <row r="8" spans="1:14">
      <c r="B8" s="7" t="s">
        <v>2036</v>
      </c>
      <c r="D8" s="902">
        <v>5672</v>
      </c>
      <c r="F8" s="239">
        <v>375</v>
      </c>
      <c r="H8" s="794"/>
      <c r="I8" s="793"/>
      <c r="J8" s="794"/>
      <c r="K8" s="704"/>
      <c r="L8" s="706"/>
      <c r="M8" s="706"/>
      <c r="N8" s="648"/>
    </row>
    <row r="9" spans="1:14">
      <c r="B9" s="7" t="s">
        <v>2050</v>
      </c>
      <c r="D9" s="902">
        <v>-23542</v>
      </c>
      <c r="F9" s="239">
        <v>-52337</v>
      </c>
      <c r="H9" s="794"/>
      <c r="I9" s="793"/>
      <c r="J9" s="794"/>
      <c r="K9" s="704"/>
      <c r="L9" s="706"/>
      <c r="M9" s="706"/>
      <c r="N9" s="648"/>
    </row>
    <row r="10" spans="1:14" ht="15.75" thickBot="1">
      <c r="D10" s="180">
        <f>SUM(D5:D9)</f>
        <v>6178753</v>
      </c>
      <c r="F10" s="180">
        <f>SUM(F5:F9)</f>
        <v>18584585</v>
      </c>
      <c r="H10" s="793"/>
      <c r="I10" s="793"/>
      <c r="J10" s="794"/>
      <c r="K10" s="704"/>
      <c r="L10" s="706"/>
      <c r="M10" s="706"/>
      <c r="N10" s="648"/>
    </row>
    <row r="11" spans="1:14" ht="15.75" thickTop="1">
      <c r="C11" s="234"/>
      <c r="D11" s="293">
        <f>D10-ББ!D29</f>
        <v>0</v>
      </c>
      <c r="F11" s="293">
        <f>F10-ББ!F29</f>
        <v>0</v>
      </c>
      <c r="H11" s="588"/>
      <c r="I11" s="648"/>
      <c r="J11" s="648"/>
      <c r="K11" s="648"/>
      <c r="L11" s="648"/>
      <c r="M11" s="648"/>
      <c r="N11" s="648"/>
    </row>
  </sheetData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zoomScale="70" zoomScaleNormal="70" workbookViewId="0">
      <selection activeCell="A3" sqref="A3"/>
    </sheetView>
  </sheetViews>
  <sheetFormatPr defaultColWidth="8.7109375" defaultRowHeight="15"/>
  <cols>
    <col min="1" max="4" width="8.7109375" style="7"/>
    <col min="5" max="5" width="10" style="7" bestFit="1" customWidth="1"/>
    <col min="6" max="6" width="8.7109375" style="7"/>
    <col min="7" max="7" width="12.85546875" style="7" customWidth="1"/>
    <col min="8" max="8" width="8.7109375" style="7"/>
    <col min="9" max="9" width="10.85546875" style="7" bestFit="1" customWidth="1"/>
    <col min="10" max="16384" width="8.7109375" style="7"/>
  </cols>
  <sheetData>
    <row r="2" spans="1:16">
      <c r="A2" s="124">
        <v>15</v>
      </c>
      <c r="B2" s="124" t="s">
        <v>2954</v>
      </c>
    </row>
    <row r="4" spans="1:16" ht="45">
      <c r="E4" s="271" t="s">
        <v>3218</v>
      </c>
      <c r="F4" s="268"/>
      <c r="G4" s="271" t="s">
        <v>677</v>
      </c>
      <c r="I4" s="588"/>
      <c r="J4" s="648"/>
      <c r="K4" s="648"/>
      <c r="L4" s="648"/>
      <c r="M4" s="648"/>
      <c r="N4" s="648"/>
      <c r="O4" s="648"/>
      <c r="P4" s="588"/>
    </row>
    <row r="5" spans="1:16">
      <c r="B5" s="7" t="s">
        <v>2955</v>
      </c>
      <c r="E5" s="239">
        <v>328597</v>
      </c>
      <c r="G5" s="239">
        <v>198085</v>
      </c>
      <c r="I5" s="588"/>
      <c r="J5" s="897"/>
      <c r="K5" s="898"/>
      <c r="L5" s="706"/>
      <c r="M5" s="706"/>
      <c r="N5" s="706"/>
      <c r="O5" s="648"/>
      <c r="P5" s="588"/>
    </row>
    <row r="6" spans="1:16">
      <c r="B6" s="7" t="s">
        <v>2956</v>
      </c>
      <c r="E6" s="239">
        <v>-59844</v>
      </c>
      <c r="G6" s="239">
        <v>-36384</v>
      </c>
      <c r="I6" s="588"/>
      <c r="J6" s="897"/>
      <c r="K6" s="898"/>
      <c r="L6" s="706"/>
      <c r="M6" s="706"/>
      <c r="N6" s="706"/>
      <c r="O6" s="648"/>
      <c r="P6" s="588"/>
    </row>
    <row r="7" spans="1:16" ht="15.75" thickBot="1">
      <c r="E7" s="180">
        <f>SUM(E5:E6)</f>
        <v>268753</v>
      </c>
      <c r="G7" s="180">
        <f>SUM(G5:G6)</f>
        <v>161701</v>
      </c>
      <c r="I7" s="588"/>
      <c r="J7" s="897"/>
      <c r="K7" s="898"/>
      <c r="L7" s="706"/>
      <c r="M7" s="706"/>
      <c r="N7" s="706"/>
      <c r="O7" s="648"/>
      <c r="P7" s="588"/>
    </row>
    <row r="8" spans="1:16" ht="15.75" thickTop="1">
      <c r="D8" s="234"/>
      <c r="E8" s="293">
        <f>E7-ББ!D17</f>
        <v>0</v>
      </c>
      <c r="F8" s="477"/>
      <c r="G8" s="293">
        <f>G7-ББ!F17</f>
        <v>0</v>
      </c>
      <c r="I8" s="588"/>
      <c r="J8" s="648"/>
      <c r="K8" s="648"/>
      <c r="L8" s="648"/>
      <c r="M8" s="648"/>
      <c r="N8" s="648"/>
      <c r="O8" s="648"/>
      <c r="P8" s="5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zoomScale="80" zoomScaleNormal="80" workbookViewId="0">
      <selection activeCell="H5" sqref="H5:J5"/>
    </sheetView>
  </sheetViews>
  <sheetFormatPr defaultColWidth="8.7109375" defaultRowHeight="12.75"/>
  <cols>
    <col min="1" max="1" width="26.7109375" style="2" customWidth="1"/>
    <col min="2" max="3" width="11.5703125" style="2" bestFit="1" customWidth="1"/>
    <col min="4" max="5" width="12.42578125" style="2" bestFit="1" customWidth="1"/>
    <col min="6" max="6" width="31.140625" style="2" customWidth="1"/>
    <col min="7" max="7" width="11.5703125" style="2" bestFit="1" customWidth="1"/>
    <col min="8" max="8" width="12.42578125" style="2" customWidth="1"/>
    <col min="9" max="9" width="11.85546875" style="2" customWidth="1"/>
    <col min="10" max="16384" width="8.7109375" style="2"/>
  </cols>
  <sheetData>
    <row r="1" spans="1:10">
      <c r="A1" s="45" t="s">
        <v>396</v>
      </c>
      <c r="B1" s="46"/>
      <c r="C1" s="46"/>
      <c r="D1" s="46"/>
      <c r="E1" s="46"/>
      <c r="F1" s="46"/>
      <c r="G1" s="46"/>
    </row>
    <row r="2" spans="1:10">
      <c r="A2" s="45" t="s">
        <v>45</v>
      </c>
      <c r="B2" s="46"/>
      <c r="C2" s="46"/>
      <c r="D2" s="47"/>
      <c r="E2" s="47"/>
      <c r="F2" s="47"/>
      <c r="G2" s="46"/>
    </row>
    <row r="3" spans="1:10">
      <c r="A3" s="46" t="s">
        <v>46</v>
      </c>
      <c r="B3" s="46" t="s">
        <v>47</v>
      </c>
      <c r="C3" s="46"/>
      <c r="D3" s="46"/>
      <c r="E3" s="46"/>
      <c r="F3" s="46"/>
      <c r="G3" s="46"/>
    </row>
    <row r="4" spans="1:10">
      <c r="A4" s="938" t="s">
        <v>50</v>
      </c>
      <c r="B4" s="940" t="s">
        <v>51</v>
      </c>
      <c r="C4" s="940"/>
      <c r="D4" s="940" t="s">
        <v>52</v>
      </c>
      <c r="E4" s="940"/>
      <c r="F4" s="940" t="s">
        <v>53</v>
      </c>
      <c r="G4" s="940"/>
      <c r="H4" s="41"/>
    </row>
    <row r="5" spans="1:10">
      <c r="A5" s="939"/>
      <c r="B5" s="48" t="s">
        <v>54</v>
      </c>
      <c r="C5" s="48" t="s">
        <v>55</v>
      </c>
      <c r="D5" s="48" t="s">
        <v>54</v>
      </c>
      <c r="E5" s="48" t="s">
        <v>55</v>
      </c>
      <c r="F5" s="48" t="s">
        <v>54</v>
      </c>
      <c r="G5" s="48" t="s">
        <v>55</v>
      </c>
      <c r="H5" s="57">
        <v>43100</v>
      </c>
      <c r="I5" s="57">
        <v>43465</v>
      </c>
      <c r="J5" s="58" t="s">
        <v>341</v>
      </c>
    </row>
    <row r="6" spans="1:10">
      <c r="A6" s="51" t="s">
        <v>58</v>
      </c>
      <c r="B6" s="52">
        <v>798.37718999999993</v>
      </c>
      <c r="C6" s="52">
        <v>0</v>
      </c>
      <c r="D6" s="52">
        <v>35171.747000000003</v>
      </c>
      <c r="E6" s="52">
        <v>34824.136229999996</v>
      </c>
      <c r="F6" s="52">
        <v>1145.9879599999999</v>
      </c>
      <c r="G6" s="52">
        <v>0</v>
      </c>
      <c r="H6" s="41">
        <f>B6-C6</f>
        <v>798.37718999999993</v>
      </c>
      <c r="I6" s="41">
        <f>F6-G6</f>
        <v>1145.9879599999999</v>
      </c>
      <c r="J6" s="2" t="s">
        <v>24</v>
      </c>
    </row>
    <row r="7" spans="1:10">
      <c r="A7" s="51" t="s">
        <v>60</v>
      </c>
      <c r="B7" s="52">
        <v>0</v>
      </c>
      <c r="C7" s="52">
        <v>0</v>
      </c>
      <c r="D7" s="52">
        <v>5235551.520490001</v>
      </c>
      <c r="E7" s="52">
        <v>5235551.520490001</v>
      </c>
      <c r="F7" s="52">
        <v>0</v>
      </c>
      <c r="G7" s="52">
        <v>0</v>
      </c>
      <c r="H7" s="41">
        <f t="shared" ref="H7:H47" si="0">B7-C7</f>
        <v>0</v>
      </c>
      <c r="I7" s="41">
        <f t="shared" ref="I7:I47" si="1">F7-G7</f>
        <v>0</v>
      </c>
      <c r="J7" s="2" t="s">
        <v>24</v>
      </c>
    </row>
    <row r="8" spans="1:10">
      <c r="A8" s="51" t="s">
        <v>61</v>
      </c>
      <c r="B8" s="52">
        <v>0</v>
      </c>
      <c r="C8" s="52">
        <v>0</v>
      </c>
      <c r="D8" s="52">
        <v>30067605.724050004</v>
      </c>
      <c r="E8" s="52">
        <v>30067605.724050004</v>
      </c>
      <c r="F8" s="52">
        <v>0</v>
      </c>
      <c r="G8" s="52">
        <v>0</v>
      </c>
      <c r="H8" s="41">
        <f t="shared" si="0"/>
        <v>0</v>
      </c>
      <c r="I8" s="41">
        <f t="shared" si="1"/>
        <v>0</v>
      </c>
      <c r="J8" s="2" t="s">
        <v>24</v>
      </c>
    </row>
    <row r="9" spans="1:10">
      <c r="A9" s="51" t="s">
        <v>397</v>
      </c>
      <c r="B9" s="52">
        <v>0</v>
      </c>
      <c r="C9" s="52">
        <v>0</v>
      </c>
      <c r="D9" s="52">
        <v>34590</v>
      </c>
      <c r="E9" s="52">
        <v>34590</v>
      </c>
      <c r="F9" s="52">
        <v>0</v>
      </c>
      <c r="G9" s="52">
        <v>0</v>
      </c>
      <c r="H9" s="41">
        <f t="shared" si="0"/>
        <v>0</v>
      </c>
      <c r="I9" s="41">
        <f t="shared" si="1"/>
        <v>0</v>
      </c>
      <c r="J9" s="2" t="s">
        <v>24</v>
      </c>
    </row>
    <row r="10" spans="1:10">
      <c r="A10" s="51" t="s">
        <v>62</v>
      </c>
      <c r="B10" s="52">
        <v>172936.38859000002</v>
      </c>
      <c r="C10" s="52">
        <v>0</v>
      </c>
      <c r="D10" s="52">
        <v>190416798.36543003</v>
      </c>
      <c r="E10" s="52">
        <v>179829112.27039999</v>
      </c>
      <c r="F10" s="52">
        <v>10760622.483619999</v>
      </c>
      <c r="G10" s="52">
        <v>0</v>
      </c>
      <c r="H10" s="41">
        <f t="shared" si="0"/>
        <v>172936.38859000002</v>
      </c>
      <c r="I10" s="41">
        <f t="shared" si="1"/>
        <v>10760622.483619999</v>
      </c>
      <c r="J10" s="2" t="s">
        <v>24</v>
      </c>
    </row>
    <row r="11" spans="1:10">
      <c r="A11" s="51" t="s">
        <v>398</v>
      </c>
      <c r="B11" s="52">
        <v>317000</v>
      </c>
      <c r="C11" s="52">
        <v>0</v>
      </c>
      <c r="D11" s="52">
        <v>45846003.428709999</v>
      </c>
      <c r="E11" s="52">
        <v>39429734.847400002</v>
      </c>
      <c r="F11" s="52">
        <v>6733268.5813099993</v>
      </c>
      <c r="G11" s="52">
        <v>0</v>
      </c>
      <c r="H11" s="41">
        <f t="shared" si="0"/>
        <v>317000</v>
      </c>
      <c r="I11" s="41">
        <f t="shared" si="1"/>
        <v>6733268.5813099993</v>
      </c>
      <c r="J11" s="2" t="s">
        <v>24</v>
      </c>
    </row>
    <row r="12" spans="1:10">
      <c r="A12" s="51" t="s">
        <v>399</v>
      </c>
      <c r="B12" s="52">
        <v>0</v>
      </c>
      <c r="C12" s="52">
        <v>0</v>
      </c>
      <c r="D12" s="52">
        <v>16403.955300000001</v>
      </c>
      <c r="E12" s="52">
        <v>0</v>
      </c>
      <c r="F12" s="52">
        <v>16403.955300000001</v>
      </c>
      <c r="G12" s="52">
        <v>0</v>
      </c>
      <c r="H12" s="41">
        <f t="shared" si="0"/>
        <v>0</v>
      </c>
      <c r="I12" s="41">
        <f t="shared" si="1"/>
        <v>16403.955300000001</v>
      </c>
      <c r="J12" s="2" t="s">
        <v>389</v>
      </c>
    </row>
    <row r="13" spans="1:10">
      <c r="A13" s="51" t="s">
        <v>68</v>
      </c>
      <c r="B13" s="52">
        <v>89734.507249999995</v>
      </c>
      <c r="C13" s="52">
        <v>0</v>
      </c>
      <c r="D13" s="52">
        <v>38519800.399860002</v>
      </c>
      <c r="E13" s="52">
        <v>38001881.230099998</v>
      </c>
      <c r="F13" s="52">
        <v>607653.67700999998</v>
      </c>
      <c r="G13" s="52">
        <v>0</v>
      </c>
      <c r="H13" s="41">
        <f t="shared" si="0"/>
        <v>89734.507249999995</v>
      </c>
      <c r="I13" s="41">
        <f t="shared" si="1"/>
        <v>607653.67700999998</v>
      </c>
      <c r="J13" s="2" t="s">
        <v>19</v>
      </c>
    </row>
    <row r="14" spans="1:10">
      <c r="A14" s="51" t="s">
        <v>72</v>
      </c>
      <c r="B14" s="52">
        <v>94.481100000000012</v>
      </c>
      <c r="C14" s="52">
        <v>0</v>
      </c>
      <c r="D14" s="52">
        <v>21931.306850000001</v>
      </c>
      <c r="E14" s="52">
        <v>21341.750739999999</v>
      </c>
      <c r="F14" s="52">
        <v>684.03720999999996</v>
      </c>
      <c r="G14" s="52">
        <v>0</v>
      </c>
      <c r="H14" s="41">
        <f t="shared" si="0"/>
        <v>94.481100000000012</v>
      </c>
      <c r="I14" s="41">
        <f t="shared" si="1"/>
        <v>684.03720999999996</v>
      </c>
      <c r="J14" s="2" t="s">
        <v>19</v>
      </c>
    </row>
    <row r="15" spans="1:10">
      <c r="A15" s="51" t="s">
        <v>400</v>
      </c>
      <c r="B15" s="52">
        <v>0</v>
      </c>
      <c r="C15" s="52">
        <v>0</v>
      </c>
      <c r="D15" s="52">
        <v>741.73779999999999</v>
      </c>
      <c r="E15" s="52">
        <v>741.73779999999999</v>
      </c>
      <c r="F15" s="52">
        <v>0</v>
      </c>
      <c r="G15" s="52">
        <v>0</v>
      </c>
      <c r="H15" s="41">
        <f t="shared" si="0"/>
        <v>0</v>
      </c>
      <c r="I15" s="41">
        <f t="shared" si="1"/>
        <v>0</v>
      </c>
      <c r="J15" s="2" t="s">
        <v>19</v>
      </c>
    </row>
    <row r="16" spans="1:10">
      <c r="A16" s="51" t="s">
        <v>75</v>
      </c>
      <c r="B16" s="52">
        <v>263779.94608000002</v>
      </c>
      <c r="C16" s="52">
        <v>0</v>
      </c>
      <c r="D16" s="52">
        <v>0</v>
      </c>
      <c r="E16" s="52">
        <v>263779.94608000002</v>
      </c>
      <c r="F16" s="52">
        <v>0</v>
      </c>
      <c r="G16" s="52">
        <v>0</v>
      </c>
      <c r="H16" s="41">
        <f t="shared" si="0"/>
        <v>263779.94608000002</v>
      </c>
      <c r="I16" s="41">
        <f t="shared" si="1"/>
        <v>0</v>
      </c>
      <c r="J16" s="2" t="s">
        <v>19</v>
      </c>
    </row>
    <row r="17" spans="1:10">
      <c r="A17" s="51" t="s">
        <v>401</v>
      </c>
      <c r="B17" s="52">
        <v>0</v>
      </c>
      <c r="C17" s="52">
        <v>0</v>
      </c>
      <c r="D17" s="52">
        <v>41145.982590000007</v>
      </c>
      <c r="E17" s="52">
        <v>41145.982590000007</v>
      </c>
      <c r="F17" s="52">
        <v>0</v>
      </c>
      <c r="G17" s="52">
        <v>0</v>
      </c>
      <c r="H17" s="41">
        <f t="shared" si="0"/>
        <v>0</v>
      </c>
      <c r="I17" s="41">
        <f t="shared" si="1"/>
        <v>0</v>
      </c>
      <c r="J17" s="2" t="s">
        <v>19</v>
      </c>
    </row>
    <row r="18" spans="1:10">
      <c r="A18" s="51" t="s">
        <v>402</v>
      </c>
      <c r="B18" s="52">
        <v>0</v>
      </c>
      <c r="C18" s="52">
        <v>0</v>
      </c>
      <c r="D18" s="52">
        <v>130</v>
      </c>
      <c r="E18" s="52">
        <v>130</v>
      </c>
      <c r="F18" s="52">
        <v>0</v>
      </c>
      <c r="G18" s="52">
        <v>0</v>
      </c>
      <c r="H18" s="41">
        <f t="shared" si="0"/>
        <v>0</v>
      </c>
      <c r="I18" s="41">
        <f t="shared" si="1"/>
        <v>0</v>
      </c>
      <c r="J18" s="2" t="s">
        <v>19</v>
      </c>
    </row>
    <row r="19" spans="1:10">
      <c r="A19" s="51" t="s">
        <v>403</v>
      </c>
      <c r="B19" s="52">
        <v>0</v>
      </c>
      <c r="C19" s="52">
        <v>0</v>
      </c>
      <c r="D19" s="52">
        <v>19354.774129999998</v>
      </c>
      <c r="E19" s="52">
        <v>1431.07573</v>
      </c>
      <c r="F19" s="52">
        <v>17923.698399999997</v>
      </c>
      <c r="G19" s="52">
        <v>0</v>
      </c>
      <c r="H19" s="41">
        <f t="shared" si="0"/>
        <v>0</v>
      </c>
      <c r="I19" s="41">
        <f t="shared" si="1"/>
        <v>17923.698399999997</v>
      </c>
      <c r="J19" s="2" t="s">
        <v>19</v>
      </c>
    </row>
    <row r="20" spans="1:10">
      <c r="A20" s="51" t="s">
        <v>404</v>
      </c>
      <c r="B20" s="52">
        <v>0</v>
      </c>
      <c r="C20" s="52">
        <v>0</v>
      </c>
      <c r="D20" s="52">
        <v>28.22166</v>
      </c>
      <c r="E20" s="52">
        <v>28.22166</v>
      </c>
      <c r="F20" s="52">
        <v>0</v>
      </c>
      <c r="G20" s="52">
        <v>0</v>
      </c>
      <c r="H20" s="41">
        <f t="shared" si="0"/>
        <v>0</v>
      </c>
      <c r="I20" s="41">
        <f t="shared" si="1"/>
        <v>0</v>
      </c>
      <c r="J20" s="2" t="s">
        <v>19</v>
      </c>
    </row>
    <row r="21" spans="1:10">
      <c r="A21" s="51" t="s">
        <v>405</v>
      </c>
      <c r="B21" s="52">
        <v>183745.73206000001</v>
      </c>
      <c r="C21" s="52">
        <v>0</v>
      </c>
      <c r="D21" s="52">
        <v>210058.71635</v>
      </c>
      <c r="E21" s="52">
        <v>194508.47491999998</v>
      </c>
      <c r="F21" s="52">
        <v>199295.97349</v>
      </c>
      <c r="G21" s="52">
        <v>0</v>
      </c>
      <c r="H21" s="41">
        <f t="shared" si="0"/>
        <v>183745.73206000001</v>
      </c>
      <c r="I21" s="41">
        <f t="shared" si="1"/>
        <v>199295.97349</v>
      </c>
      <c r="J21" s="2" t="s">
        <v>19</v>
      </c>
    </row>
    <row r="22" spans="1:10">
      <c r="A22" s="51" t="s">
        <v>406</v>
      </c>
      <c r="B22" s="52">
        <v>0</v>
      </c>
      <c r="C22" s="52">
        <v>88441.84</v>
      </c>
      <c r="D22" s="52">
        <v>9658.1980000000003</v>
      </c>
      <c r="E22" s="52">
        <v>0</v>
      </c>
      <c r="F22" s="52">
        <v>0</v>
      </c>
      <c r="G22" s="52">
        <v>78783.642000000007</v>
      </c>
      <c r="H22" s="41">
        <f t="shared" si="0"/>
        <v>-88441.84</v>
      </c>
      <c r="I22" s="41">
        <f t="shared" si="1"/>
        <v>-78783.642000000007</v>
      </c>
      <c r="J22" s="2" t="s">
        <v>19</v>
      </c>
    </row>
    <row r="23" spans="1:10">
      <c r="A23" s="51" t="s">
        <v>85</v>
      </c>
      <c r="B23" s="52">
        <v>1317731.1245900001</v>
      </c>
      <c r="C23" s="52">
        <v>0</v>
      </c>
      <c r="D23" s="52">
        <v>19955264.855149999</v>
      </c>
      <c r="E23" s="52">
        <v>17345808.829410002</v>
      </c>
      <c r="F23" s="52">
        <v>3927187.1503300001</v>
      </c>
      <c r="G23" s="52">
        <v>0</v>
      </c>
      <c r="H23" s="41">
        <f t="shared" si="0"/>
        <v>1317731.1245900001</v>
      </c>
      <c r="I23" s="41">
        <f t="shared" si="1"/>
        <v>3927187.1503300001</v>
      </c>
      <c r="J23" s="2" t="s">
        <v>16</v>
      </c>
    </row>
    <row r="24" spans="1:10">
      <c r="A24" s="51" t="s">
        <v>407</v>
      </c>
      <c r="B24" s="52">
        <v>6648.1561400000001</v>
      </c>
      <c r="C24" s="52">
        <v>0</v>
      </c>
      <c r="D24" s="52">
        <v>9312367.5281100012</v>
      </c>
      <c r="E24" s="52">
        <v>9165122.1449999996</v>
      </c>
      <c r="F24" s="52">
        <v>153893.53925</v>
      </c>
      <c r="G24" s="52">
        <v>0</v>
      </c>
      <c r="H24" s="41">
        <f t="shared" si="0"/>
        <v>6648.1561400000001</v>
      </c>
      <c r="I24" s="41">
        <f t="shared" si="1"/>
        <v>153893.53925</v>
      </c>
      <c r="J24" s="2" t="s">
        <v>16</v>
      </c>
    </row>
    <row r="25" spans="1:10">
      <c r="A25" s="51" t="s">
        <v>99</v>
      </c>
      <c r="B25" s="52">
        <v>505312.81358999998</v>
      </c>
      <c r="C25" s="52">
        <v>0</v>
      </c>
      <c r="D25" s="52">
        <v>20436058.713190004</v>
      </c>
      <c r="E25" s="52">
        <v>19204546.395260002</v>
      </c>
      <c r="F25" s="52">
        <v>1736825.1315200001</v>
      </c>
      <c r="G25" s="52">
        <v>0</v>
      </c>
      <c r="H25" s="41">
        <f t="shared" si="0"/>
        <v>505312.81358999998</v>
      </c>
      <c r="I25" s="41">
        <f t="shared" si="1"/>
        <v>1736825.1315200001</v>
      </c>
      <c r="J25" s="2" t="s">
        <v>16</v>
      </c>
    </row>
    <row r="26" spans="1:10">
      <c r="A26" s="51" t="s">
        <v>408</v>
      </c>
      <c r="B26" s="52">
        <v>2925713.9283199999</v>
      </c>
      <c r="C26" s="52">
        <v>0</v>
      </c>
      <c r="D26" s="52">
        <v>26034.794389999999</v>
      </c>
      <c r="E26" s="52">
        <v>2480925.74596</v>
      </c>
      <c r="F26" s="52">
        <v>470822.97674999997</v>
      </c>
      <c r="G26" s="52">
        <v>0</v>
      </c>
      <c r="H26" s="41">
        <f t="shared" si="0"/>
        <v>2925713.9283199999</v>
      </c>
      <c r="I26" s="41">
        <f t="shared" si="1"/>
        <v>470822.97674999997</v>
      </c>
      <c r="J26" s="2" t="s">
        <v>16</v>
      </c>
    </row>
    <row r="27" spans="1:10">
      <c r="A27" s="51" t="s">
        <v>102</v>
      </c>
      <c r="B27" s="52">
        <v>173992.79816000001</v>
      </c>
      <c r="C27" s="52">
        <v>0</v>
      </c>
      <c r="D27" s="52">
        <v>3744071.4566200003</v>
      </c>
      <c r="E27" s="52">
        <v>3651248.8654099996</v>
      </c>
      <c r="F27" s="52">
        <v>266815.38936999999</v>
      </c>
      <c r="G27" s="52">
        <v>0</v>
      </c>
      <c r="H27" s="41">
        <f t="shared" si="0"/>
        <v>173992.79816000001</v>
      </c>
      <c r="I27" s="41">
        <f t="shared" si="1"/>
        <v>266815.38936999999</v>
      </c>
      <c r="J27" s="2" t="s">
        <v>16</v>
      </c>
    </row>
    <row r="28" spans="1:10">
      <c r="A28" s="51" t="s">
        <v>103</v>
      </c>
      <c r="B28" s="52">
        <v>16159.56401</v>
      </c>
      <c r="C28" s="52">
        <v>0</v>
      </c>
      <c r="D28" s="52">
        <v>2568.71495</v>
      </c>
      <c r="E28" s="52">
        <v>0</v>
      </c>
      <c r="F28" s="52">
        <v>18728.27896</v>
      </c>
      <c r="G28" s="52">
        <v>0</v>
      </c>
      <c r="H28" s="41">
        <f t="shared" si="0"/>
        <v>16159.56401</v>
      </c>
      <c r="I28" s="41">
        <f t="shared" si="1"/>
        <v>18728.27896</v>
      </c>
      <c r="J28" s="2" t="s">
        <v>16</v>
      </c>
    </row>
    <row r="29" spans="1:10">
      <c r="A29" s="51" t="s">
        <v>409</v>
      </c>
      <c r="B29" s="52">
        <v>29382.406920000001</v>
      </c>
      <c r="C29" s="52">
        <v>0</v>
      </c>
      <c r="D29" s="52">
        <v>62303.132890000001</v>
      </c>
      <c r="E29" s="52">
        <v>49458.598890000001</v>
      </c>
      <c r="F29" s="52">
        <v>42226.940920000001</v>
      </c>
      <c r="G29" s="52">
        <v>0</v>
      </c>
      <c r="H29" s="41">
        <f t="shared" si="0"/>
        <v>29382.406920000001</v>
      </c>
      <c r="I29" s="41">
        <f t="shared" si="1"/>
        <v>42226.940920000001</v>
      </c>
      <c r="J29" s="2" t="s">
        <v>16</v>
      </c>
    </row>
    <row r="30" spans="1:10">
      <c r="A30" s="51" t="s">
        <v>410</v>
      </c>
      <c r="B30" s="52">
        <v>0</v>
      </c>
      <c r="C30" s="52">
        <v>0</v>
      </c>
      <c r="D30" s="52">
        <v>69097.929359999995</v>
      </c>
      <c r="E30" s="52">
        <v>23699.471679999999</v>
      </c>
      <c r="F30" s="52">
        <v>45398.45768</v>
      </c>
      <c r="G30" s="52">
        <v>0</v>
      </c>
      <c r="H30" s="41">
        <f t="shared" si="0"/>
        <v>0</v>
      </c>
      <c r="I30" s="41">
        <f t="shared" si="1"/>
        <v>45398.45768</v>
      </c>
      <c r="J30" s="2" t="s">
        <v>16</v>
      </c>
    </row>
    <row r="31" spans="1:10">
      <c r="A31" s="51" t="s">
        <v>118</v>
      </c>
      <c r="B31" s="52">
        <v>0</v>
      </c>
      <c r="C31" s="52">
        <v>0</v>
      </c>
      <c r="D31" s="52">
        <v>6171.8987300000008</v>
      </c>
      <c r="E31" s="52">
        <v>0</v>
      </c>
      <c r="F31" s="52">
        <v>6171.8987300000008</v>
      </c>
      <c r="G31" s="52">
        <v>0</v>
      </c>
      <c r="H31" s="41">
        <f t="shared" si="0"/>
        <v>0</v>
      </c>
      <c r="I31" s="41">
        <f t="shared" si="1"/>
        <v>6171.8987300000008</v>
      </c>
      <c r="J31" s="2" t="s">
        <v>17</v>
      </c>
    </row>
    <row r="32" spans="1:10">
      <c r="A32" s="51" t="s">
        <v>411</v>
      </c>
      <c r="B32" s="52">
        <v>0</v>
      </c>
      <c r="C32" s="52">
        <v>0</v>
      </c>
      <c r="D32" s="52">
        <v>3713748.2487600003</v>
      </c>
      <c r="E32" s="52">
        <v>828404.33314999996</v>
      </c>
      <c r="F32" s="52">
        <v>2885343.9156099996</v>
      </c>
      <c r="G32" s="52">
        <v>0</v>
      </c>
      <c r="H32" s="41">
        <f t="shared" si="0"/>
        <v>0</v>
      </c>
      <c r="I32" s="41">
        <f t="shared" si="1"/>
        <v>2885343.9156099996</v>
      </c>
      <c r="J32" s="2" t="s">
        <v>11</v>
      </c>
    </row>
    <row r="33" spans="1:10">
      <c r="A33" s="51" t="s">
        <v>412</v>
      </c>
      <c r="B33" s="52">
        <v>11056.748579999999</v>
      </c>
      <c r="C33" s="52">
        <v>0</v>
      </c>
      <c r="D33" s="52">
        <v>355742.16947000002</v>
      </c>
      <c r="E33" s="52">
        <v>280970.62114999996</v>
      </c>
      <c r="F33" s="52">
        <v>85828.296900000001</v>
      </c>
      <c r="G33" s="52">
        <v>0</v>
      </c>
      <c r="H33" s="41">
        <f t="shared" si="0"/>
        <v>11056.748579999999</v>
      </c>
      <c r="I33" s="41">
        <f t="shared" si="1"/>
        <v>85828.296900000001</v>
      </c>
      <c r="J33" s="2" t="s">
        <v>18</v>
      </c>
    </row>
    <row r="34" spans="1:10">
      <c r="A34" s="51" t="s">
        <v>120</v>
      </c>
      <c r="B34" s="52">
        <v>204.18807000000001</v>
      </c>
      <c r="C34" s="52">
        <v>0</v>
      </c>
      <c r="D34" s="52">
        <v>16050.02476</v>
      </c>
      <c r="E34" s="53">
        <v>-2047.34752</v>
      </c>
      <c r="F34" s="52">
        <v>18301.56035</v>
      </c>
      <c r="G34" s="52">
        <v>0</v>
      </c>
      <c r="H34" s="41">
        <f t="shared" si="0"/>
        <v>204.18807000000001</v>
      </c>
      <c r="I34" s="41">
        <f t="shared" si="1"/>
        <v>18301.56035</v>
      </c>
      <c r="J34" s="2" t="s">
        <v>19</v>
      </c>
    </row>
    <row r="35" spans="1:10">
      <c r="A35" s="51" t="s">
        <v>413</v>
      </c>
      <c r="B35" s="52">
        <v>273815.85269999999</v>
      </c>
      <c r="C35" s="52">
        <v>0</v>
      </c>
      <c r="D35" s="52">
        <v>10453196.10877</v>
      </c>
      <c r="E35" s="52">
        <v>8795572.5401000008</v>
      </c>
      <c r="F35" s="52">
        <v>1931439.4213699999</v>
      </c>
      <c r="G35" s="52">
        <v>0</v>
      </c>
      <c r="H35" s="41">
        <f t="shared" si="0"/>
        <v>273815.85269999999</v>
      </c>
      <c r="I35" s="41">
        <f t="shared" si="1"/>
        <v>1931439.4213699999</v>
      </c>
      <c r="J35" s="2" t="s">
        <v>12</v>
      </c>
    </row>
    <row r="36" spans="1:10">
      <c r="A36" s="51" t="s">
        <v>414</v>
      </c>
      <c r="B36" s="52">
        <v>2161.6238499999999</v>
      </c>
      <c r="C36" s="52">
        <v>0</v>
      </c>
      <c r="D36" s="52">
        <v>39930.65511</v>
      </c>
      <c r="E36" s="52">
        <v>30915.568059999998</v>
      </c>
      <c r="F36" s="52">
        <v>11176.7109</v>
      </c>
      <c r="G36" s="52">
        <v>0</v>
      </c>
      <c r="H36" s="41">
        <f t="shared" si="0"/>
        <v>2161.6238499999999</v>
      </c>
      <c r="I36" s="41">
        <f t="shared" si="1"/>
        <v>11176.7109</v>
      </c>
      <c r="J36" s="2" t="s">
        <v>12</v>
      </c>
    </row>
    <row r="37" spans="1:10">
      <c r="A37" s="51" t="s">
        <v>415</v>
      </c>
      <c r="B37" s="52">
        <v>36734.427950000005</v>
      </c>
      <c r="C37" s="52">
        <v>0</v>
      </c>
      <c r="D37" s="52">
        <v>55878.802600000003</v>
      </c>
      <c r="E37" s="52">
        <v>77560.378299999997</v>
      </c>
      <c r="F37" s="52">
        <v>15052.85225</v>
      </c>
      <c r="G37" s="52">
        <v>0</v>
      </c>
      <c r="H37" s="41">
        <f t="shared" si="0"/>
        <v>36734.427950000005</v>
      </c>
      <c r="I37" s="41">
        <f t="shared" si="1"/>
        <v>15052.85225</v>
      </c>
      <c r="J37" s="2" t="s">
        <v>20</v>
      </c>
    </row>
    <row r="38" spans="1:10">
      <c r="A38" s="51" t="s">
        <v>416</v>
      </c>
      <c r="B38" s="52">
        <v>2730237.8755699997</v>
      </c>
      <c r="C38" s="52">
        <v>0</v>
      </c>
      <c r="D38" s="52">
        <v>0</v>
      </c>
      <c r="E38" s="52">
        <v>546047.57510999998</v>
      </c>
      <c r="F38" s="52">
        <v>2184190.3004600001</v>
      </c>
      <c r="G38" s="52">
        <v>0</v>
      </c>
      <c r="H38" s="41">
        <f t="shared" si="0"/>
        <v>2730237.8755699997</v>
      </c>
      <c r="I38" s="41">
        <f t="shared" si="1"/>
        <v>2184190.3004600001</v>
      </c>
      <c r="J38" s="2" t="s">
        <v>18</v>
      </c>
    </row>
    <row r="39" spans="1:10">
      <c r="A39" s="51" t="s">
        <v>146</v>
      </c>
      <c r="B39" s="52">
        <v>17203224.177080002</v>
      </c>
      <c r="C39" s="52">
        <v>0</v>
      </c>
      <c r="D39" s="52">
        <v>71521034.007940009</v>
      </c>
      <c r="E39" s="52">
        <v>52380767.00051</v>
      </c>
      <c r="F39" s="52">
        <v>36343491.18451</v>
      </c>
      <c r="G39" s="52">
        <v>0</v>
      </c>
      <c r="H39" s="41">
        <f t="shared" si="0"/>
        <v>17203224.177080002</v>
      </c>
      <c r="I39" s="41">
        <f t="shared" si="1"/>
        <v>36343491.18451</v>
      </c>
      <c r="J39" s="2" t="s">
        <v>7</v>
      </c>
    </row>
    <row r="40" spans="1:10">
      <c r="A40" s="51" t="s">
        <v>155</v>
      </c>
      <c r="B40" s="52">
        <v>0</v>
      </c>
      <c r="C40" s="52">
        <v>340010.98149999999</v>
      </c>
      <c r="D40" s="52">
        <v>2761172.0920700002</v>
      </c>
      <c r="E40" s="52">
        <v>4785498.4143600008</v>
      </c>
      <c r="F40" s="52">
        <v>0</v>
      </c>
      <c r="G40" s="52">
        <v>2364337.3037899998</v>
      </c>
      <c r="H40" s="41">
        <f t="shared" si="0"/>
        <v>-340010.98149999999</v>
      </c>
      <c r="I40" s="41">
        <f t="shared" si="1"/>
        <v>-2364337.3037899998</v>
      </c>
      <c r="J40" s="2" t="s">
        <v>7</v>
      </c>
    </row>
    <row r="41" spans="1:10">
      <c r="A41" s="51" t="s">
        <v>164</v>
      </c>
      <c r="B41" s="52">
        <v>6013.2580399999997</v>
      </c>
      <c r="C41" s="52">
        <v>0</v>
      </c>
      <c r="D41" s="52">
        <v>27562.351999999999</v>
      </c>
      <c r="E41" s="52">
        <v>0</v>
      </c>
      <c r="F41" s="52">
        <v>33575.61004</v>
      </c>
      <c r="G41" s="52">
        <v>0</v>
      </c>
      <c r="H41" s="41">
        <f t="shared" si="0"/>
        <v>6013.2580399999997</v>
      </c>
      <c r="I41" s="41">
        <f t="shared" si="1"/>
        <v>33575.61004</v>
      </c>
      <c r="J41" s="2" t="s">
        <v>9</v>
      </c>
    </row>
    <row r="42" spans="1:10">
      <c r="A42" s="51" t="s">
        <v>167</v>
      </c>
      <c r="B42" s="52">
        <v>0</v>
      </c>
      <c r="C42" s="52">
        <v>0</v>
      </c>
      <c r="D42" s="52">
        <v>0</v>
      </c>
      <c r="E42" s="52">
        <v>1929.64446</v>
      </c>
      <c r="F42" s="52">
        <v>0</v>
      </c>
      <c r="G42" s="52">
        <v>1929.64446</v>
      </c>
      <c r="H42" s="41">
        <f t="shared" si="0"/>
        <v>0</v>
      </c>
      <c r="I42" s="41">
        <f t="shared" si="1"/>
        <v>-1929.64446</v>
      </c>
      <c r="J42" s="2" t="s">
        <v>9</v>
      </c>
    </row>
    <row r="43" spans="1:10">
      <c r="A43" s="51" t="s">
        <v>417</v>
      </c>
      <c r="B43" s="52">
        <v>2832629.6533600003</v>
      </c>
      <c r="C43" s="52">
        <v>0</v>
      </c>
      <c r="D43" s="52">
        <v>178208.97751</v>
      </c>
      <c r="E43" s="52">
        <v>3010838.6308700005</v>
      </c>
      <c r="F43" s="52">
        <v>0</v>
      </c>
      <c r="G43" s="52">
        <v>0</v>
      </c>
      <c r="H43" s="41">
        <f t="shared" si="0"/>
        <v>2832629.6533600003</v>
      </c>
      <c r="I43" s="41">
        <f t="shared" si="1"/>
        <v>0</v>
      </c>
      <c r="J43" s="2" t="s">
        <v>21</v>
      </c>
    </row>
    <row r="44" spans="1:10">
      <c r="A44" s="51" t="s">
        <v>176</v>
      </c>
      <c r="B44" s="52">
        <v>0</v>
      </c>
      <c r="C44" s="52">
        <v>0</v>
      </c>
      <c r="D44" s="52">
        <v>8320</v>
      </c>
      <c r="E44" s="52">
        <v>4320</v>
      </c>
      <c r="F44" s="52">
        <v>4000</v>
      </c>
      <c r="G44" s="52">
        <v>0</v>
      </c>
      <c r="H44" s="41">
        <f t="shared" si="0"/>
        <v>0</v>
      </c>
      <c r="I44" s="41">
        <f t="shared" si="1"/>
        <v>4000</v>
      </c>
      <c r="J44" s="2" t="s">
        <v>21</v>
      </c>
    </row>
    <row r="45" spans="1:10">
      <c r="A45" s="51" t="s">
        <v>182</v>
      </c>
      <c r="B45" s="52">
        <v>9277008.8439700007</v>
      </c>
      <c r="C45" s="52">
        <v>0</v>
      </c>
      <c r="D45" s="52">
        <v>21848298.82223</v>
      </c>
      <c r="E45" s="52">
        <v>31049084.402129997</v>
      </c>
      <c r="F45" s="52">
        <v>76223.26406999999</v>
      </c>
      <c r="G45" s="52">
        <v>0</v>
      </c>
      <c r="H45" s="41">
        <f t="shared" si="0"/>
        <v>9277008.8439700007</v>
      </c>
      <c r="I45" s="41">
        <f t="shared" si="1"/>
        <v>76223.26406999999</v>
      </c>
      <c r="J45" s="2" t="s">
        <v>7</v>
      </c>
    </row>
    <row r="46" spans="1:10">
      <c r="A46" s="51" t="s">
        <v>418</v>
      </c>
      <c r="B46" s="52">
        <v>2243.9374700000003</v>
      </c>
      <c r="C46" s="52">
        <v>0</v>
      </c>
      <c r="D46" s="52">
        <v>815882.11010000005</v>
      </c>
      <c r="E46" s="52">
        <v>737506.21975000005</v>
      </c>
      <c r="F46" s="52">
        <v>80619.827819999991</v>
      </c>
      <c r="G46" s="52">
        <v>0</v>
      </c>
      <c r="H46" s="41">
        <f t="shared" si="0"/>
        <v>2243.9374700000003</v>
      </c>
      <c r="I46" s="41">
        <f t="shared" si="1"/>
        <v>80619.827819999991</v>
      </c>
      <c r="J46" s="2" t="s">
        <v>7</v>
      </c>
    </row>
    <row r="47" spans="1:10">
      <c r="A47" s="51" t="s">
        <v>419</v>
      </c>
      <c r="B47" s="52">
        <v>0</v>
      </c>
      <c r="C47" s="52">
        <v>0</v>
      </c>
      <c r="D47" s="52">
        <v>454487.27124999999</v>
      </c>
      <c r="E47" s="52">
        <v>454487.27124999999</v>
      </c>
      <c r="F47" s="52">
        <v>0</v>
      </c>
      <c r="G47" s="52">
        <v>0</v>
      </c>
      <c r="H47" s="41">
        <f t="shared" si="0"/>
        <v>0</v>
      </c>
      <c r="I47" s="41">
        <f t="shared" si="1"/>
        <v>0</v>
      </c>
      <c r="J47" s="2" t="s">
        <v>7</v>
      </c>
    </row>
    <row r="48" spans="1:10">
      <c r="A48" s="51" t="s">
        <v>420</v>
      </c>
      <c r="B48" s="52">
        <v>0</v>
      </c>
      <c r="C48" s="52">
        <v>0</v>
      </c>
      <c r="D48" s="52">
        <v>0</v>
      </c>
      <c r="E48" s="52">
        <v>11352821.558010003</v>
      </c>
      <c r="F48" s="52">
        <v>0</v>
      </c>
      <c r="G48" s="52">
        <v>11352821.558010003</v>
      </c>
      <c r="H48" s="41">
        <f t="shared" ref="H48:H77" si="2">B48-C48</f>
        <v>0</v>
      </c>
      <c r="I48" s="41">
        <f t="shared" ref="I48:I77" si="3">F48-G48</f>
        <v>-11352821.558010003</v>
      </c>
      <c r="J48" s="2" t="s">
        <v>37</v>
      </c>
    </row>
    <row r="49" spans="1:10">
      <c r="A49" s="51" t="s">
        <v>203</v>
      </c>
      <c r="B49" s="52">
        <v>0</v>
      </c>
      <c r="C49" s="52">
        <v>0</v>
      </c>
      <c r="D49" s="52">
        <v>1070.6559999999999</v>
      </c>
      <c r="E49" s="52">
        <v>1070.6559999999999</v>
      </c>
      <c r="F49" s="52">
        <v>0</v>
      </c>
      <c r="G49" s="52">
        <v>0</v>
      </c>
      <c r="H49" s="41">
        <f t="shared" si="2"/>
        <v>0</v>
      </c>
      <c r="I49" s="41">
        <f t="shared" si="3"/>
        <v>0</v>
      </c>
    </row>
    <row r="50" spans="1:10">
      <c r="A50" s="51" t="s">
        <v>204</v>
      </c>
      <c r="B50" s="52">
        <v>0</v>
      </c>
      <c r="C50" s="52">
        <v>15657.62329</v>
      </c>
      <c r="D50" s="52">
        <v>219341.17080000002</v>
      </c>
      <c r="E50" s="52">
        <v>222775.68662999998</v>
      </c>
      <c r="F50" s="52">
        <v>0</v>
      </c>
      <c r="G50" s="52">
        <v>19092.13912</v>
      </c>
      <c r="H50" s="41">
        <f t="shared" si="2"/>
        <v>-15657.62329</v>
      </c>
      <c r="I50" s="41">
        <f t="shared" si="3"/>
        <v>-19092.13912</v>
      </c>
      <c r="J50" s="2" t="s">
        <v>38</v>
      </c>
    </row>
    <row r="51" spans="1:10">
      <c r="A51" s="51" t="s">
        <v>205</v>
      </c>
      <c r="B51" s="52">
        <v>0</v>
      </c>
      <c r="C51" s="52">
        <v>5.0000000000000002E-5</v>
      </c>
      <c r="D51" s="52">
        <v>37226.186390000003</v>
      </c>
      <c r="E51" s="52">
        <v>37846.852500000001</v>
      </c>
      <c r="F51" s="52">
        <v>0</v>
      </c>
      <c r="G51" s="52">
        <v>620.66615999999999</v>
      </c>
      <c r="H51" s="41">
        <f t="shared" si="2"/>
        <v>-5.0000000000000002E-5</v>
      </c>
      <c r="I51" s="41">
        <f t="shared" si="3"/>
        <v>-620.66615999999999</v>
      </c>
      <c r="J51" s="2" t="s">
        <v>38</v>
      </c>
    </row>
    <row r="52" spans="1:10">
      <c r="A52" s="51" t="s">
        <v>207</v>
      </c>
      <c r="B52" s="52">
        <v>0</v>
      </c>
      <c r="C52" s="52">
        <v>13119.00632</v>
      </c>
      <c r="D52" s="52">
        <v>195632.02659999998</v>
      </c>
      <c r="E52" s="52">
        <v>182513.02028</v>
      </c>
      <c r="F52" s="52">
        <v>0</v>
      </c>
      <c r="G52" s="52">
        <v>0</v>
      </c>
      <c r="H52" s="41">
        <f t="shared" si="2"/>
        <v>-13119.00632</v>
      </c>
      <c r="I52" s="41">
        <f t="shared" si="3"/>
        <v>0</v>
      </c>
      <c r="J52" s="2" t="s">
        <v>38</v>
      </c>
    </row>
    <row r="53" spans="1:10">
      <c r="A53" s="51" t="s">
        <v>208</v>
      </c>
      <c r="B53" s="52">
        <v>0</v>
      </c>
      <c r="C53" s="52">
        <v>80.295000000000002</v>
      </c>
      <c r="D53" s="52">
        <v>334.55627000000004</v>
      </c>
      <c r="E53" s="52">
        <v>274.08492999999999</v>
      </c>
      <c r="F53" s="52">
        <v>0</v>
      </c>
      <c r="G53" s="52">
        <v>19.82366</v>
      </c>
      <c r="H53" s="41">
        <f t="shared" si="2"/>
        <v>-80.295000000000002</v>
      </c>
      <c r="I53" s="41">
        <f t="shared" si="3"/>
        <v>-19.82366</v>
      </c>
      <c r="J53" s="2" t="s">
        <v>38</v>
      </c>
    </row>
    <row r="54" spans="1:10">
      <c r="A54" s="51" t="s">
        <v>209</v>
      </c>
      <c r="B54" s="52">
        <v>0</v>
      </c>
      <c r="C54" s="52">
        <v>164.12873999999999</v>
      </c>
      <c r="D54" s="52">
        <v>2095.2579999999998</v>
      </c>
      <c r="E54" s="52">
        <v>1931.1292599999999</v>
      </c>
      <c r="F54" s="52">
        <v>0</v>
      </c>
      <c r="G54" s="52">
        <v>0</v>
      </c>
      <c r="H54" s="41">
        <f t="shared" si="2"/>
        <v>-164.12873999999999</v>
      </c>
      <c r="I54" s="41">
        <f t="shared" si="3"/>
        <v>0</v>
      </c>
      <c r="J54" s="2" t="s">
        <v>38</v>
      </c>
    </row>
    <row r="55" spans="1:10">
      <c r="A55" s="51" t="s">
        <v>210</v>
      </c>
      <c r="B55" s="52">
        <v>0</v>
      </c>
      <c r="C55" s="52">
        <v>552.77</v>
      </c>
      <c r="D55" s="52">
        <v>2218.2910000000002</v>
      </c>
      <c r="E55" s="52">
        <v>1665.521</v>
      </c>
      <c r="F55" s="52">
        <v>0</v>
      </c>
      <c r="G55" s="52">
        <v>0</v>
      </c>
      <c r="H55" s="41">
        <f t="shared" si="2"/>
        <v>-552.77</v>
      </c>
      <c r="I55" s="41">
        <f t="shared" si="3"/>
        <v>0</v>
      </c>
      <c r="J55" s="2" t="s">
        <v>38</v>
      </c>
    </row>
    <row r="56" spans="1:10">
      <c r="A56" s="51" t="s">
        <v>211</v>
      </c>
      <c r="B56" s="52">
        <v>0</v>
      </c>
      <c r="C56" s="52">
        <v>318.733</v>
      </c>
      <c r="D56" s="52">
        <v>229380.88178999998</v>
      </c>
      <c r="E56" s="52">
        <v>317062.02583999996</v>
      </c>
      <c r="F56" s="52">
        <v>0</v>
      </c>
      <c r="G56" s="52">
        <v>87999.877049999996</v>
      </c>
      <c r="H56" s="41">
        <f t="shared" si="2"/>
        <v>-318.733</v>
      </c>
      <c r="I56" s="41">
        <f t="shared" si="3"/>
        <v>-87999.877049999996</v>
      </c>
      <c r="J56" s="2" t="s">
        <v>38</v>
      </c>
    </row>
    <row r="57" spans="1:10">
      <c r="A57" s="51" t="s">
        <v>421</v>
      </c>
      <c r="B57" s="52">
        <v>0</v>
      </c>
      <c r="C57" s="52">
        <v>5404.1850700000005</v>
      </c>
      <c r="D57" s="52">
        <v>64020.457999999999</v>
      </c>
      <c r="E57" s="52">
        <v>64772.169000000002</v>
      </c>
      <c r="F57" s="52">
        <v>0</v>
      </c>
      <c r="G57" s="52">
        <v>6155.8960700000007</v>
      </c>
      <c r="H57" s="41">
        <f t="shared" si="2"/>
        <v>-5404.1850700000005</v>
      </c>
      <c r="I57" s="41">
        <f t="shared" si="3"/>
        <v>-6155.8960700000007</v>
      </c>
      <c r="J57" s="2" t="s">
        <v>38</v>
      </c>
    </row>
    <row r="58" spans="1:10">
      <c r="A58" s="51" t="s">
        <v>422</v>
      </c>
      <c r="B58" s="52">
        <v>0</v>
      </c>
      <c r="C58" s="52">
        <v>11.6959</v>
      </c>
      <c r="D58" s="52">
        <v>11.696</v>
      </c>
      <c r="E58" s="52">
        <v>1E-4</v>
      </c>
      <c r="F58" s="52">
        <v>0</v>
      </c>
      <c r="G58" s="52">
        <v>0</v>
      </c>
      <c r="H58" s="41">
        <f t="shared" si="2"/>
        <v>-11.6959</v>
      </c>
      <c r="I58" s="41">
        <f t="shared" si="3"/>
        <v>0</v>
      </c>
      <c r="J58" s="2" t="s">
        <v>38</v>
      </c>
    </row>
    <row r="59" spans="1:10">
      <c r="A59" s="51" t="s">
        <v>423</v>
      </c>
      <c r="B59" s="52">
        <v>0</v>
      </c>
      <c r="C59" s="52">
        <v>1301.74559</v>
      </c>
      <c r="D59" s="52">
        <v>31534.029780000001</v>
      </c>
      <c r="E59" s="52">
        <v>33351.754000000001</v>
      </c>
      <c r="F59" s="52">
        <v>0</v>
      </c>
      <c r="G59" s="52">
        <v>3119.4698100000001</v>
      </c>
      <c r="H59" s="41">
        <f t="shared" si="2"/>
        <v>-1301.74559</v>
      </c>
      <c r="I59" s="41">
        <f t="shared" si="3"/>
        <v>-3119.4698100000001</v>
      </c>
      <c r="J59" s="2" t="s">
        <v>38</v>
      </c>
    </row>
    <row r="60" spans="1:10">
      <c r="A60" s="51" t="s">
        <v>216</v>
      </c>
      <c r="B60" s="52">
        <v>0</v>
      </c>
      <c r="C60" s="52">
        <v>14604.63314</v>
      </c>
      <c r="D60" s="52">
        <v>237104.19802000001</v>
      </c>
      <c r="E60" s="52">
        <v>244472.71338</v>
      </c>
      <c r="F60" s="52">
        <v>0</v>
      </c>
      <c r="G60" s="52">
        <v>21973.148499999999</v>
      </c>
      <c r="H60" s="41">
        <f t="shared" si="2"/>
        <v>-14604.63314</v>
      </c>
      <c r="I60" s="41">
        <f t="shared" si="3"/>
        <v>-21973.148499999999</v>
      </c>
      <c r="J60" s="2" t="s">
        <v>38</v>
      </c>
    </row>
    <row r="61" spans="1:10">
      <c r="A61" s="51" t="s">
        <v>424</v>
      </c>
      <c r="B61" s="52">
        <v>0</v>
      </c>
      <c r="C61" s="52">
        <v>290.51866999999999</v>
      </c>
      <c r="D61" s="52">
        <v>4146.8041199999998</v>
      </c>
      <c r="E61" s="52">
        <v>4155.6406699999998</v>
      </c>
      <c r="F61" s="52">
        <v>0</v>
      </c>
      <c r="G61" s="52">
        <v>299.35521999999997</v>
      </c>
      <c r="H61" s="41">
        <f t="shared" si="2"/>
        <v>-290.51866999999999</v>
      </c>
      <c r="I61" s="41">
        <f t="shared" si="3"/>
        <v>-299.35521999999997</v>
      </c>
      <c r="J61" s="2" t="s">
        <v>38</v>
      </c>
    </row>
    <row r="62" spans="1:10">
      <c r="A62" s="51" t="s">
        <v>222</v>
      </c>
      <c r="B62" s="52">
        <v>0</v>
      </c>
      <c r="C62" s="52">
        <v>1658380.0509699997</v>
      </c>
      <c r="D62" s="52">
        <v>30635373.187210001</v>
      </c>
      <c r="E62" s="52">
        <v>30709255.812369999</v>
      </c>
      <c r="F62" s="52">
        <v>0</v>
      </c>
      <c r="G62" s="52">
        <v>1732262.6761299998</v>
      </c>
      <c r="H62" s="41">
        <f t="shared" si="2"/>
        <v>-1658380.0509699997</v>
      </c>
      <c r="I62" s="41">
        <f t="shared" si="3"/>
        <v>-1732262.6761299998</v>
      </c>
      <c r="J62" s="2" t="s">
        <v>38</v>
      </c>
    </row>
    <row r="63" spans="1:10">
      <c r="A63" s="51" t="s">
        <v>226</v>
      </c>
      <c r="B63" s="52">
        <v>0</v>
      </c>
      <c r="C63" s="52">
        <v>41242.596960000003</v>
      </c>
      <c r="D63" s="52">
        <v>2657915.4887000001</v>
      </c>
      <c r="E63" s="52">
        <v>2682283.2705999999</v>
      </c>
      <c r="F63" s="52">
        <v>0</v>
      </c>
      <c r="G63" s="52">
        <v>65610.378859999997</v>
      </c>
      <c r="H63" s="41">
        <f t="shared" si="2"/>
        <v>-41242.596960000003</v>
      </c>
      <c r="I63" s="41">
        <f t="shared" si="3"/>
        <v>-65610.378859999997</v>
      </c>
      <c r="J63" s="2" t="s">
        <v>38</v>
      </c>
    </row>
    <row r="64" spans="1:10">
      <c r="A64" s="51" t="s">
        <v>425</v>
      </c>
      <c r="B64" s="52">
        <v>0</v>
      </c>
      <c r="C64" s="52">
        <v>0</v>
      </c>
      <c r="D64" s="52">
        <v>0</v>
      </c>
      <c r="E64" s="52">
        <v>1981967.1933100002</v>
      </c>
      <c r="F64" s="52">
        <v>0</v>
      </c>
      <c r="G64" s="52">
        <v>1981967.1933100002</v>
      </c>
      <c r="H64" s="41">
        <f t="shared" si="2"/>
        <v>0</v>
      </c>
      <c r="I64" s="41">
        <f t="shared" si="3"/>
        <v>-1981967.1933100002</v>
      </c>
      <c r="J64" s="2" t="s">
        <v>37</v>
      </c>
    </row>
    <row r="65" spans="1:10">
      <c r="A65" s="51" t="s">
        <v>426</v>
      </c>
      <c r="B65" s="52">
        <v>0</v>
      </c>
      <c r="C65" s="52">
        <v>0</v>
      </c>
      <c r="D65" s="52">
        <v>2289.9964500000001</v>
      </c>
      <c r="E65" s="52">
        <v>2289.9964500000001</v>
      </c>
      <c r="F65" s="52">
        <v>0</v>
      </c>
      <c r="G65" s="52">
        <v>0</v>
      </c>
      <c r="H65" s="41">
        <f t="shared" si="2"/>
        <v>0</v>
      </c>
      <c r="I65" s="41">
        <f t="shared" si="3"/>
        <v>0</v>
      </c>
      <c r="J65" s="2" t="s">
        <v>38</v>
      </c>
    </row>
    <row r="66" spans="1:10">
      <c r="A66" s="51" t="s">
        <v>427</v>
      </c>
      <c r="B66" s="52">
        <v>0</v>
      </c>
      <c r="C66" s="52">
        <v>0</v>
      </c>
      <c r="D66" s="52">
        <v>2839.6120499999997</v>
      </c>
      <c r="E66" s="52">
        <v>2839.6120499999997</v>
      </c>
      <c r="F66" s="52">
        <v>0</v>
      </c>
      <c r="G66" s="52">
        <v>0</v>
      </c>
      <c r="H66" s="41">
        <f t="shared" si="2"/>
        <v>0</v>
      </c>
      <c r="I66" s="41">
        <f t="shared" si="3"/>
        <v>0</v>
      </c>
      <c r="J66" s="2" t="s">
        <v>38</v>
      </c>
    </row>
    <row r="67" spans="1:10">
      <c r="A67" s="51" t="s">
        <v>428</v>
      </c>
      <c r="B67" s="52">
        <v>0</v>
      </c>
      <c r="C67" s="52">
        <v>1973.4985800000002</v>
      </c>
      <c r="D67" s="52">
        <v>44278.258990000002</v>
      </c>
      <c r="E67" s="52">
        <v>46554.887880000002</v>
      </c>
      <c r="F67" s="52">
        <v>0</v>
      </c>
      <c r="G67" s="52">
        <v>4250.1274699999994</v>
      </c>
      <c r="H67" s="41">
        <f t="shared" si="2"/>
        <v>-1973.4985800000002</v>
      </c>
      <c r="I67" s="41">
        <f t="shared" si="3"/>
        <v>-4250.1274699999994</v>
      </c>
      <c r="J67" s="2" t="s">
        <v>38</v>
      </c>
    </row>
    <row r="68" spans="1:10">
      <c r="A68" s="51" t="s">
        <v>429</v>
      </c>
      <c r="B68" s="52">
        <v>0</v>
      </c>
      <c r="C68" s="52">
        <v>36.088999999999999</v>
      </c>
      <c r="D68" s="52">
        <v>205.33475000000001</v>
      </c>
      <c r="E68" s="52">
        <v>276.69574999999998</v>
      </c>
      <c r="F68" s="52">
        <v>0</v>
      </c>
      <c r="G68" s="52">
        <v>107.45</v>
      </c>
      <c r="H68" s="41">
        <f t="shared" si="2"/>
        <v>-36.088999999999999</v>
      </c>
      <c r="I68" s="41">
        <f t="shared" si="3"/>
        <v>-107.45</v>
      </c>
      <c r="J68" s="2" t="s">
        <v>38</v>
      </c>
    </row>
    <row r="69" spans="1:10">
      <c r="A69" s="51" t="s">
        <v>430</v>
      </c>
      <c r="B69" s="52">
        <v>0</v>
      </c>
      <c r="C69" s="52">
        <v>0</v>
      </c>
      <c r="D69" s="52">
        <v>21420.767239999997</v>
      </c>
      <c r="E69" s="52">
        <v>30463.375390000001</v>
      </c>
      <c r="F69" s="52">
        <v>0</v>
      </c>
      <c r="G69" s="52">
        <v>9042.60815</v>
      </c>
      <c r="H69" s="41">
        <f t="shared" si="2"/>
        <v>0</v>
      </c>
      <c r="I69" s="41">
        <f t="shared" si="3"/>
        <v>-9042.60815</v>
      </c>
      <c r="J69" s="2" t="s">
        <v>38</v>
      </c>
    </row>
    <row r="70" spans="1:10">
      <c r="A70" s="51" t="s">
        <v>431</v>
      </c>
      <c r="B70" s="52">
        <v>0</v>
      </c>
      <c r="C70" s="52">
        <v>0</v>
      </c>
      <c r="D70" s="52">
        <v>39773.571450000003</v>
      </c>
      <c r="E70" s="52">
        <v>48373.467880000004</v>
      </c>
      <c r="F70" s="52">
        <v>0</v>
      </c>
      <c r="G70" s="52">
        <v>8599.8964299999989</v>
      </c>
      <c r="H70" s="41">
        <f t="shared" si="2"/>
        <v>0</v>
      </c>
      <c r="I70" s="41">
        <f t="shared" si="3"/>
        <v>-8599.8964299999989</v>
      </c>
      <c r="J70" s="2" t="s">
        <v>38</v>
      </c>
    </row>
    <row r="71" spans="1:10">
      <c r="A71" s="51" t="s">
        <v>238</v>
      </c>
      <c r="B71" s="52">
        <v>0</v>
      </c>
      <c r="C71" s="52">
        <v>57334.052229999994</v>
      </c>
      <c r="D71" s="52">
        <v>150792.46734</v>
      </c>
      <c r="E71" s="52">
        <v>197086.44407</v>
      </c>
      <c r="F71" s="52">
        <v>0</v>
      </c>
      <c r="G71" s="52">
        <v>103628.02896</v>
      </c>
      <c r="H71" s="41">
        <f t="shared" si="2"/>
        <v>-57334.052229999994</v>
      </c>
      <c r="I71" s="41">
        <f t="shared" si="3"/>
        <v>-103628.02896</v>
      </c>
      <c r="J71" s="2" t="s">
        <v>38</v>
      </c>
    </row>
    <row r="72" spans="1:10">
      <c r="A72" s="51" t="s">
        <v>244</v>
      </c>
      <c r="B72" s="52">
        <v>0</v>
      </c>
      <c r="C72" s="52">
        <v>7789345.982259999</v>
      </c>
      <c r="D72" s="52">
        <v>7892474.6805299995</v>
      </c>
      <c r="E72" s="52">
        <v>103324.96827</v>
      </c>
      <c r="F72" s="52">
        <v>0</v>
      </c>
      <c r="G72" s="52">
        <v>196.27</v>
      </c>
      <c r="H72" s="41">
        <f t="shared" si="2"/>
        <v>-7789345.982259999</v>
      </c>
      <c r="I72" s="41">
        <f t="shared" si="3"/>
        <v>-196.27</v>
      </c>
      <c r="J72" s="2" t="s">
        <v>38</v>
      </c>
    </row>
    <row r="73" spans="1:10">
      <c r="A73" s="51" t="s">
        <v>246</v>
      </c>
      <c r="B73" s="52">
        <v>0</v>
      </c>
      <c r="C73" s="52">
        <v>26468327.114819996</v>
      </c>
      <c r="D73" s="52">
        <v>33002198.219840001</v>
      </c>
      <c r="E73" s="52">
        <v>38308672.380750008</v>
      </c>
      <c r="F73" s="52">
        <v>0</v>
      </c>
      <c r="G73" s="52">
        <v>31774801.275730003</v>
      </c>
      <c r="H73" s="41">
        <f t="shared" si="2"/>
        <v>-26468327.114819996</v>
      </c>
      <c r="I73" s="41">
        <f t="shared" si="3"/>
        <v>-31774801.275730003</v>
      </c>
      <c r="J73" s="2" t="s">
        <v>31</v>
      </c>
    </row>
    <row r="74" spans="1:10">
      <c r="A74" s="51" t="s">
        <v>432</v>
      </c>
      <c r="B74" s="52">
        <v>0</v>
      </c>
      <c r="C74" s="52">
        <v>1734469.4077099999</v>
      </c>
      <c r="D74" s="52">
        <v>0</v>
      </c>
      <c r="E74" s="52">
        <v>0</v>
      </c>
      <c r="F74" s="52">
        <v>0</v>
      </c>
      <c r="G74" s="52">
        <v>1734469.4077099999</v>
      </c>
      <c r="H74" s="41">
        <f t="shared" si="2"/>
        <v>-1734469.4077099999</v>
      </c>
      <c r="I74" s="41">
        <f t="shared" si="3"/>
        <v>-1734469.4077099999</v>
      </c>
      <c r="J74" s="2" t="s">
        <v>31</v>
      </c>
    </row>
    <row r="75" spans="1:10" ht="15">
      <c r="A75" s="64" t="s">
        <v>258</v>
      </c>
      <c r="B75" s="52">
        <v>0</v>
      </c>
      <c r="C75" s="52">
        <v>0</v>
      </c>
      <c r="D75" s="52">
        <v>0</v>
      </c>
      <c r="E75" s="52">
        <v>60765.853000000003</v>
      </c>
      <c r="F75" s="52">
        <v>0</v>
      </c>
      <c r="G75" s="52">
        <v>60765.853000000003</v>
      </c>
      <c r="H75" s="41">
        <f t="shared" si="2"/>
        <v>0</v>
      </c>
      <c r="I75" s="41">
        <f t="shared" si="3"/>
        <v>-60765.853000000003</v>
      </c>
      <c r="J75" t="s">
        <v>34</v>
      </c>
    </row>
    <row r="76" spans="1:10">
      <c r="A76" s="51" t="s">
        <v>433</v>
      </c>
      <c r="B76" s="52">
        <v>0</v>
      </c>
      <c r="C76" s="52">
        <v>650038</v>
      </c>
      <c r="D76" s="52">
        <v>0</v>
      </c>
      <c r="E76" s="52">
        <v>0</v>
      </c>
      <c r="F76" s="52">
        <v>0</v>
      </c>
      <c r="G76" s="52">
        <v>650038</v>
      </c>
      <c r="H76" s="41">
        <f t="shared" si="2"/>
        <v>-650038</v>
      </c>
      <c r="I76" s="41">
        <f t="shared" si="3"/>
        <v>-650038</v>
      </c>
      <c r="J76" s="2" t="s">
        <v>33</v>
      </c>
    </row>
    <row r="77" spans="1:10">
      <c r="A77" s="51" t="s">
        <v>434</v>
      </c>
      <c r="B77" s="52">
        <v>0</v>
      </c>
      <c r="C77" s="52">
        <v>212.1</v>
      </c>
      <c r="D77" s="52">
        <v>0</v>
      </c>
      <c r="E77" s="52">
        <v>0</v>
      </c>
      <c r="F77" s="52">
        <v>0</v>
      </c>
      <c r="G77" s="52">
        <v>212.1</v>
      </c>
      <c r="H77" s="41">
        <f t="shared" si="2"/>
        <v>-212.1</v>
      </c>
      <c r="I77" s="41">
        <f t="shared" si="3"/>
        <v>-212.1</v>
      </c>
      <c r="J77" s="2" t="s">
        <v>28</v>
      </c>
    </row>
    <row r="78" spans="1:10">
      <c r="A78" s="49" t="s">
        <v>435</v>
      </c>
      <c r="B78" s="50">
        <v>0</v>
      </c>
      <c r="C78" s="54">
        <v>-502956.23816000001</v>
      </c>
      <c r="D78" s="50">
        <v>197782.21494000001</v>
      </c>
      <c r="E78" s="50">
        <v>17311945.765590001</v>
      </c>
      <c r="F78" s="50">
        <v>0</v>
      </c>
      <c r="G78" s="50">
        <v>16611207.312489999</v>
      </c>
      <c r="H78" s="41">
        <f t="shared" ref="H78" si="4">B78-C78</f>
        <v>502956.23816000001</v>
      </c>
      <c r="I78" s="41">
        <f>F78-G78</f>
        <v>-16611207.312489999</v>
      </c>
      <c r="J78" s="2" t="s">
        <v>29</v>
      </c>
    </row>
    <row r="79" spans="1:10">
      <c r="A79" s="51" t="s">
        <v>436</v>
      </c>
      <c r="B79" s="52">
        <v>0</v>
      </c>
      <c r="C79" s="53">
        <v>-196905.06112999999</v>
      </c>
      <c r="D79" s="52">
        <v>0</v>
      </c>
      <c r="E79" s="52">
        <v>17311943.165599998</v>
      </c>
      <c r="F79" s="52">
        <v>0</v>
      </c>
      <c r="G79" s="52">
        <v>17115038.10447</v>
      </c>
      <c r="H79" s="41">
        <f>SUM(H6:H78)</f>
        <v>-1.5425030142068863E-8</v>
      </c>
      <c r="I79" s="41">
        <f>SUM(I6:I78)</f>
        <v>-1.4901161193847656E-8</v>
      </c>
    </row>
    <row r="80" spans="1:10">
      <c r="A80" s="51" t="s">
        <v>437</v>
      </c>
      <c r="B80" s="52">
        <v>0</v>
      </c>
      <c r="C80" s="53">
        <v>-306051.17702999996</v>
      </c>
      <c r="D80" s="52">
        <v>197782.21494000001</v>
      </c>
      <c r="E80" s="52">
        <v>2.5999899999999996</v>
      </c>
      <c r="F80" s="52">
        <v>0</v>
      </c>
      <c r="G80" s="53">
        <v>-503830.79198000004</v>
      </c>
    </row>
    <row r="81" spans="1:7">
      <c r="A81" s="49" t="s">
        <v>438</v>
      </c>
      <c r="B81" s="50">
        <v>0</v>
      </c>
      <c r="C81" s="50">
        <v>0</v>
      </c>
      <c r="D81" s="50">
        <v>40405253.03864</v>
      </c>
      <c r="E81" s="50">
        <v>40405253.03864</v>
      </c>
      <c r="F81" s="50">
        <v>0</v>
      </c>
      <c r="G81" s="50">
        <v>0</v>
      </c>
    </row>
    <row r="82" spans="1:7">
      <c r="A82" s="51" t="s">
        <v>439</v>
      </c>
      <c r="B82" s="52">
        <v>0</v>
      </c>
      <c r="C82" s="52">
        <v>0</v>
      </c>
      <c r="D82" s="52">
        <v>40405253.03864</v>
      </c>
      <c r="E82" s="52">
        <v>40405253.03864</v>
      </c>
      <c r="F82" s="52">
        <v>0</v>
      </c>
      <c r="G82" s="52">
        <v>0</v>
      </c>
    </row>
    <row r="83" spans="1:7">
      <c r="A83" s="49" t="s">
        <v>268</v>
      </c>
      <c r="B83" s="50">
        <v>0</v>
      </c>
      <c r="C83" s="50">
        <v>0</v>
      </c>
      <c r="D83" s="50">
        <v>38520219.191550002</v>
      </c>
      <c r="E83" s="50">
        <v>38520219.191550002</v>
      </c>
      <c r="F83" s="50">
        <v>0</v>
      </c>
      <c r="G83" s="50">
        <v>0</v>
      </c>
    </row>
    <row r="84" spans="1:7">
      <c r="A84" s="51" t="s">
        <v>269</v>
      </c>
      <c r="B84" s="52">
        <v>0</v>
      </c>
      <c r="C84" s="52">
        <v>0</v>
      </c>
      <c r="D84" s="52">
        <v>38520219.191550002</v>
      </c>
      <c r="E84" s="52">
        <v>38520219.191550002</v>
      </c>
      <c r="F84" s="52">
        <v>0</v>
      </c>
      <c r="G84" s="52">
        <v>0</v>
      </c>
    </row>
    <row r="85" spans="1:7">
      <c r="A85" s="49" t="s">
        <v>270</v>
      </c>
      <c r="B85" s="50">
        <v>0</v>
      </c>
      <c r="C85" s="50">
        <v>0</v>
      </c>
      <c r="D85" s="50">
        <v>41145.982590000007</v>
      </c>
      <c r="E85" s="50">
        <v>41145.982590000007</v>
      </c>
      <c r="F85" s="50">
        <v>0</v>
      </c>
      <c r="G85" s="50">
        <v>0</v>
      </c>
    </row>
    <row r="86" spans="1:7">
      <c r="A86" s="51" t="s">
        <v>271</v>
      </c>
      <c r="B86" s="52">
        <v>0</v>
      </c>
      <c r="C86" s="52">
        <v>0</v>
      </c>
      <c r="D86" s="52">
        <v>41145.982590000007</v>
      </c>
      <c r="E86" s="52">
        <v>41145.982590000007</v>
      </c>
      <c r="F86" s="52">
        <v>0</v>
      </c>
      <c r="G86" s="52">
        <v>0</v>
      </c>
    </row>
    <row r="87" spans="1:7">
      <c r="A87" s="49" t="s">
        <v>273</v>
      </c>
      <c r="B87" s="50">
        <v>0</v>
      </c>
      <c r="C87" s="50">
        <v>0</v>
      </c>
      <c r="D87" s="50">
        <v>1845932.50419</v>
      </c>
      <c r="E87" s="50">
        <v>1845932.50419</v>
      </c>
      <c r="F87" s="50">
        <v>0</v>
      </c>
      <c r="G87" s="50">
        <v>0</v>
      </c>
    </row>
    <row r="88" spans="1:7">
      <c r="A88" s="51" t="s">
        <v>274</v>
      </c>
      <c r="B88" s="52">
        <v>0</v>
      </c>
      <c r="C88" s="52">
        <v>0</v>
      </c>
      <c r="D88" s="52">
        <v>131172.11043999999</v>
      </c>
      <c r="E88" s="52">
        <v>131172.11043999999</v>
      </c>
      <c r="F88" s="52">
        <v>0</v>
      </c>
      <c r="G88" s="52">
        <v>0</v>
      </c>
    </row>
    <row r="89" spans="1:7">
      <c r="A89" s="51" t="s">
        <v>440</v>
      </c>
      <c r="B89" s="52">
        <v>0</v>
      </c>
      <c r="C89" s="52">
        <v>0</v>
      </c>
      <c r="D89" s="52">
        <v>1354005.2695299999</v>
      </c>
      <c r="E89" s="52">
        <v>1354005.2695299999</v>
      </c>
      <c r="F89" s="52">
        <v>0</v>
      </c>
      <c r="G89" s="52">
        <v>0</v>
      </c>
    </row>
    <row r="90" spans="1:7">
      <c r="A90" s="51" t="s">
        <v>279</v>
      </c>
      <c r="B90" s="52">
        <v>0</v>
      </c>
      <c r="C90" s="52">
        <v>0</v>
      </c>
      <c r="D90" s="52">
        <v>26835.90897</v>
      </c>
      <c r="E90" s="52">
        <v>26835.90897</v>
      </c>
      <c r="F90" s="52">
        <v>0</v>
      </c>
      <c r="G90" s="52">
        <v>0</v>
      </c>
    </row>
    <row r="91" spans="1:7">
      <c r="A91" s="51" t="s">
        <v>441</v>
      </c>
      <c r="B91" s="52">
        <v>0</v>
      </c>
      <c r="C91" s="52">
        <v>0</v>
      </c>
      <c r="D91" s="52">
        <v>333919.21525000001</v>
      </c>
      <c r="E91" s="52">
        <v>333919.21525000001</v>
      </c>
      <c r="F91" s="52">
        <v>0</v>
      </c>
      <c r="G91" s="52">
        <v>0</v>
      </c>
    </row>
    <row r="92" spans="1:7">
      <c r="A92" s="49" t="s">
        <v>283</v>
      </c>
      <c r="B92" s="50">
        <v>0</v>
      </c>
      <c r="C92" s="50">
        <v>0</v>
      </c>
      <c r="D92" s="50">
        <v>19204546.395260002</v>
      </c>
      <c r="E92" s="50">
        <v>19204546.395260002</v>
      </c>
      <c r="F92" s="50">
        <v>0</v>
      </c>
      <c r="G92" s="50">
        <v>0</v>
      </c>
    </row>
    <row r="93" spans="1:7">
      <c r="A93" s="51" t="s">
        <v>284</v>
      </c>
      <c r="B93" s="52">
        <v>0</v>
      </c>
      <c r="C93" s="52">
        <v>0</v>
      </c>
      <c r="D93" s="52">
        <v>19204546.395260002</v>
      </c>
      <c r="E93" s="52">
        <v>19204546.395260002</v>
      </c>
      <c r="F93" s="52">
        <v>0</v>
      </c>
      <c r="G93" s="52">
        <v>0</v>
      </c>
    </row>
    <row r="94" spans="1:7">
      <c r="A94" s="49" t="s">
        <v>285</v>
      </c>
      <c r="B94" s="50">
        <v>0</v>
      </c>
      <c r="C94" s="50">
        <v>0</v>
      </c>
      <c r="D94" s="50">
        <v>6275.4159400000008</v>
      </c>
      <c r="E94" s="50">
        <v>6275.4159400000008</v>
      </c>
      <c r="F94" s="50">
        <v>0</v>
      </c>
      <c r="G94" s="50">
        <v>0</v>
      </c>
    </row>
    <row r="95" spans="1:7">
      <c r="A95" s="51" t="s">
        <v>286</v>
      </c>
      <c r="B95" s="52">
        <v>0</v>
      </c>
      <c r="C95" s="52">
        <v>0</v>
      </c>
      <c r="D95" s="52">
        <v>6275.4159400000008</v>
      </c>
      <c r="E95" s="52">
        <v>6275.4159400000008</v>
      </c>
      <c r="F95" s="52">
        <v>0</v>
      </c>
      <c r="G95" s="52">
        <v>0</v>
      </c>
    </row>
    <row r="96" spans="1:7">
      <c r="A96" s="49" t="s">
        <v>287</v>
      </c>
      <c r="B96" s="50">
        <v>0</v>
      </c>
      <c r="C96" s="50">
        <v>0</v>
      </c>
      <c r="D96" s="50">
        <v>921014.88482000004</v>
      </c>
      <c r="E96" s="50">
        <v>921014.88482000004</v>
      </c>
      <c r="F96" s="50">
        <v>0</v>
      </c>
      <c r="G96" s="50">
        <v>0</v>
      </c>
    </row>
    <row r="97" spans="1:7">
      <c r="A97" s="51" t="s">
        <v>288</v>
      </c>
      <c r="B97" s="52">
        <v>0</v>
      </c>
      <c r="C97" s="52">
        <v>0</v>
      </c>
      <c r="D97" s="52">
        <v>886581.23860000004</v>
      </c>
      <c r="E97" s="52">
        <v>886581.23860000004</v>
      </c>
      <c r="F97" s="52">
        <v>0</v>
      </c>
      <c r="G97" s="52">
        <v>0</v>
      </c>
    </row>
    <row r="98" spans="1:7">
      <c r="A98" s="51" t="s">
        <v>442</v>
      </c>
      <c r="B98" s="52">
        <v>0</v>
      </c>
      <c r="C98" s="52">
        <v>0</v>
      </c>
      <c r="D98" s="52">
        <v>34433.646220000002</v>
      </c>
      <c r="E98" s="52">
        <v>34433.646220000002</v>
      </c>
      <c r="F98" s="52">
        <v>0</v>
      </c>
      <c r="G98" s="52">
        <v>0</v>
      </c>
    </row>
    <row r="99" spans="1:7">
      <c r="A99" s="49" t="s">
        <v>292</v>
      </c>
      <c r="B99" s="50">
        <v>0</v>
      </c>
      <c r="C99" s="50">
        <v>0</v>
      </c>
      <c r="D99" s="50">
        <v>1199810.9208800001</v>
      </c>
      <c r="E99" s="50">
        <v>1199810.9208800001</v>
      </c>
      <c r="F99" s="50">
        <v>0</v>
      </c>
      <c r="G99" s="50">
        <v>0</v>
      </c>
    </row>
    <row r="100" spans="1:7">
      <c r="A100" s="51" t="s">
        <v>293</v>
      </c>
      <c r="B100" s="52">
        <v>0</v>
      </c>
      <c r="C100" s="52">
        <v>0</v>
      </c>
      <c r="D100" s="52">
        <v>1199810.9208800001</v>
      </c>
      <c r="E100" s="52">
        <v>1199810.9208800001</v>
      </c>
      <c r="F100" s="52">
        <v>0</v>
      </c>
      <c r="G100" s="52">
        <v>0</v>
      </c>
    </row>
    <row r="101" spans="1:7">
      <c r="A101" s="49" t="s">
        <v>295</v>
      </c>
      <c r="B101" s="50">
        <v>0</v>
      </c>
      <c r="C101" s="50">
        <v>0</v>
      </c>
      <c r="D101" s="50">
        <v>1962862.6952200001</v>
      </c>
      <c r="E101" s="50">
        <v>1962862.6952200001</v>
      </c>
      <c r="F101" s="50">
        <v>0</v>
      </c>
      <c r="G101" s="50">
        <v>0</v>
      </c>
    </row>
    <row r="102" spans="1:7">
      <c r="A102" s="51" t="s">
        <v>296</v>
      </c>
      <c r="B102" s="52">
        <v>0</v>
      </c>
      <c r="C102" s="52">
        <v>0</v>
      </c>
      <c r="D102" s="52">
        <v>101556.27090999999</v>
      </c>
      <c r="E102" s="52">
        <v>101556.27090999999</v>
      </c>
      <c r="F102" s="52">
        <v>0</v>
      </c>
      <c r="G102" s="52">
        <v>0</v>
      </c>
    </row>
    <row r="103" spans="1:7">
      <c r="A103" s="51" t="s">
        <v>443</v>
      </c>
      <c r="B103" s="52">
        <v>0</v>
      </c>
      <c r="C103" s="52">
        <v>0</v>
      </c>
      <c r="D103" s="52">
        <v>1734080.3695199999</v>
      </c>
      <c r="E103" s="52">
        <v>1734080.3695199999</v>
      </c>
      <c r="F103" s="52">
        <v>0</v>
      </c>
      <c r="G103" s="52">
        <v>0</v>
      </c>
    </row>
    <row r="104" spans="1:7">
      <c r="A104" s="51" t="s">
        <v>307</v>
      </c>
      <c r="B104" s="52">
        <v>0</v>
      </c>
      <c r="C104" s="52">
        <v>0</v>
      </c>
      <c r="D104" s="52">
        <v>25558.008539999999</v>
      </c>
      <c r="E104" s="52">
        <v>25558.008539999999</v>
      </c>
      <c r="F104" s="52">
        <v>0</v>
      </c>
      <c r="G104" s="52">
        <v>0</v>
      </c>
    </row>
    <row r="105" spans="1:7">
      <c r="A105" s="51" t="s">
        <v>444</v>
      </c>
      <c r="B105" s="52">
        <v>0</v>
      </c>
      <c r="C105" s="52">
        <v>0</v>
      </c>
      <c r="D105" s="52">
        <v>101668.04625</v>
      </c>
      <c r="E105" s="52">
        <v>101668.04625</v>
      </c>
      <c r="F105" s="52">
        <v>0</v>
      </c>
      <c r="G105" s="52">
        <v>0</v>
      </c>
    </row>
    <row r="106" spans="1:7">
      <c r="A106" s="49" t="s">
        <v>314</v>
      </c>
      <c r="B106" s="50">
        <v>0</v>
      </c>
      <c r="C106" s="50">
        <v>0</v>
      </c>
      <c r="D106" s="50">
        <v>89235501.444370016</v>
      </c>
      <c r="E106" s="50">
        <v>89235501.444370016</v>
      </c>
      <c r="F106" s="50">
        <v>0</v>
      </c>
      <c r="G106" s="50">
        <v>0</v>
      </c>
    </row>
    <row r="107" spans="1:7">
      <c r="A107" s="51" t="s">
        <v>315</v>
      </c>
      <c r="B107" s="52">
        <v>0</v>
      </c>
      <c r="C107" s="52">
        <v>0</v>
      </c>
      <c r="D107" s="52">
        <v>89235501.444370016</v>
      </c>
      <c r="E107" s="52">
        <v>89235501.444370016</v>
      </c>
      <c r="F107" s="52">
        <v>0</v>
      </c>
      <c r="G107" s="52">
        <v>0</v>
      </c>
    </row>
    <row r="108" spans="1:7">
      <c r="A108" s="49" t="s">
        <v>321</v>
      </c>
      <c r="B108" s="50">
        <v>0</v>
      </c>
      <c r="C108" s="50">
        <v>0</v>
      </c>
      <c r="D108" s="50">
        <v>896277.48991</v>
      </c>
      <c r="E108" s="50">
        <v>896277.48991</v>
      </c>
      <c r="F108" s="50">
        <v>0</v>
      </c>
      <c r="G108" s="50">
        <v>0</v>
      </c>
    </row>
    <row r="109" spans="1:7">
      <c r="A109" s="51" t="s">
        <v>322</v>
      </c>
      <c r="B109" s="52">
        <v>0</v>
      </c>
      <c r="C109" s="52">
        <v>0</v>
      </c>
      <c r="D109" s="52">
        <v>896277.48991</v>
      </c>
      <c r="E109" s="52">
        <v>896277.48991</v>
      </c>
      <c r="F109" s="52">
        <v>0</v>
      </c>
      <c r="G109" s="52">
        <v>0</v>
      </c>
    </row>
    <row r="110" spans="1:7">
      <c r="A110" s="49" t="s">
        <v>328</v>
      </c>
      <c r="B110" s="50">
        <v>0</v>
      </c>
      <c r="C110" s="50">
        <v>0</v>
      </c>
      <c r="D110" s="50">
        <v>5154478.9600100005</v>
      </c>
      <c r="E110" s="50">
        <v>5154478.9600100005</v>
      </c>
      <c r="F110" s="50">
        <v>0</v>
      </c>
      <c r="G110" s="50">
        <v>0</v>
      </c>
    </row>
    <row r="111" spans="1:7">
      <c r="A111" s="51" t="s">
        <v>329</v>
      </c>
      <c r="B111" s="52">
        <v>0</v>
      </c>
      <c r="C111" s="52">
        <v>0</v>
      </c>
      <c r="D111" s="52">
        <v>5154478.9600100005</v>
      </c>
      <c r="E111" s="52">
        <v>5154478.9600100005</v>
      </c>
      <c r="F111" s="52">
        <v>0</v>
      </c>
      <c r="G111" s="52">
        <v>0</v>
      </c>
    </row>
    <row r="112" spans="1:7">
      <c r="A112" s="55" t="s">
        <v>338</v>
      </c>
      <c r="B112" s="56">
        <v>37949907.989140004</v>
      </c>
      <c r="C112" s="56">
        <v>37949907.989140004</v>
      </c>
      <c r="D112" s="56">
        <v>751403203.67981994</v>
      </c>
      <c r="E112" s="56">
        <v>751403203.67981994</v>
      </c>
      <c r="F112" s="56">
        <v>66229260.511840001</v>
      </c>
      <c r="G112" s="56">
        <v>66229260.511840001</v>
      </c>
    </row>
    <row r="115" spans="1:11">
      <c r="A115" s="295" t="s">
        <v>342</v>
      </c>
      <c r="B115" s="296" t="s">
        <v>343</v>
      </c>
      <c r="C115" s="296" t="s">
        <v>54</v>
      </c>
      <c r="D115" s="296" t="s">
        <v>55</v>
      </c>
    </row>
    <row r="116" spans="1:11" ht="24">
      <c r="A116" s="297">
        <v>5610</v>
      </c>
      <c r="B116" s="298" t="s">
        <v>344</v>
      </c>
      <c r="C116" s="299"/>
      <c r="D116" s="299"/>
    </row>
    <row r="117" spans="1:11">
      <c r="A117" s="301"/>
      <c r="B117" s="300">
        <v>5510</v>
      </c>
      <c r="C117" s="303">
        <v>17115038.10447</v>
      </c>
      <c r="D117" s="303">
        <v>0</v>
      </c>
    </row>
    <row r="118" spans="1:11" ht="15">
      <c r="A118" s="301"/>
      <c r="B118" s="300">
        <v>6010</v>
      </c>
      <c r="C118" s="303">
        <v>0</v>
      </c>
      <c r="D118" s="303">
        <v>38520219.191550002</v>
      </c>
      <c r="E118" s="41">
        <f>C118-D118</f>
        <v>-38520219.191550002</v>
      </c>
      <c r="F118" s="2" t="s">
        <v>347</v>
      </c>
      <c r="G118" s="2">
        <v>6010</v>
      </c>
      <c r="H118" s="39" t="s">
        <v>360</v>
      </c>
      <c r="K118" t="s">
        <v>347</v>
      </c>
    </row>
    <row r="119" spans="1:11" ht="15">
      <c r="A119" s="301"/>
      <c r="B119" s="300">
        <v>6110</v>
      </c>
      <c r="C119" s="303">
        <v>0</v>
      </c>
      <c r="D119" s="303">
        <v>41145.982590000007</v>
      </c>
      <c r="E119" s="41">
        <f t="shared" ref="E119:E132" si="5">C119-D119</f>
        <v>-41145.982590000007</v>
      </c>
      <c r="F119" s="2" t="s">
        <v>357</v>
      </c>
      <c r="G119" s="2">
        <v>6110</v>
      </c>
      <c r="H119" s="39" t="s">
        <v>361</v>
      </c>
      <c r="K119" t="s">
        <v>357</v>
      </c>
    </row>
    <row r="120" spans="1:11">
      <c r="A120" s="301"/>
      <c r="B120" s="300">
        <v>6210</v>
      </c>
      <c r="C120" s="303">
        <v>0</v>
      </c>
      <c r="D120" s="303">
        <v>131172.11043999999</v>
      </c>
      <c r="E120" s="41">
        <f t="shared" si="5"/>
        <v>-131172.11043999999</v>
      </c>
      <c r="F120" s="2" t="s">
        <v>352</v>
      </c>
      <c r="G120" s="2">
        <v>6210</v>
      </c>
      <c r="H120" s="39" t="s">
        <v>362</v>
      </c>
      <c r="K120" s="39" t="s">
        <v>352</v>
      </c>
    </row>
    <row r="121" spans="1:11" ht="15">
      <c r="A121" s="301"/>
      <c r="B121" s="300">
        <v>6250</v>
      </c>
      <c r="C121" s="303">
        <v>0</v>
      </c>
      <c r="D121" s="303">
        <v>1354005.2695299999</v>
      </c>
      <c r="E121" s="41">
        <f t="shared" si="5"/>
        <v>-1354005.2695299999</v>
      </c>
      <c r="F121" s="2" t="s">
        <v>355</v>
      </c>
      <c r="G121" s="2">
        <v>6250</v>
      </c>
      <c r="H121" s="305" t="s">
        <v>363</v>
      </c>
      <c r="K121" t="s">
        <v>355</v>
      </c>
    </row>
    <row r="122" spans="1:11" ht="15">
      <c r="A122" s="301"/>
      <c r="B122" s="300">
        <v>6260</v>
      </c>
      <c r="C122" s="303">
        <v>0</v>
      </c>
      <c r="D122" s="303">
        <v>26835.90897</v>
      </c>
      <c r="E122" s="41">
        <f t="shared" si="5"/>
        <v>-26835.90897</v>
      </c>
      <c r="F122" s="2" t="s">
        <v>352</v>
      </c>
      <c r="G122" s="2">
        <v>6260</v>
      </c>
      <c r="H122" s="39" t="s">
        <v>362</v>
      </c>
      <c r="K122" t="s">
        <v>353</v>
      </c>
    </row>
    <row r="123" spans="1:11" ht="15">
      <c r="A123" s="301"/>
      <c r="B123" s="300">
        <v>6280</v>
      </c>
      <c r="C123" s="303">
        <v>0</v>
      </c>
      <c r="D123" s="303">
        <v>331874.57556000003</v>
      </c>
      <c r="E123" s="41">
        <f t="shared" si="5"/>
        <v>-331874.57556000003</v>
      </c>
      <c r="F123" s="2" t="s">
        <v>352</v>
      </c>
      <c r="G123" s="2">
        <v>6280</v>
      </c>
      <c r="H123" s="39" t="s">
        <v>362</v>
      </c>
      <c r="K123" t="s">
        <v>348</v>
      </c>
    </row>
    <row r="124" spans="1:11" ht="15">
      <c r="A124" s="301"/>
      <c r="B124" s="300">
        <v>7010</v>
      </c>
      <c r="C124" s="303">
        <v>19204546.395260002</v>
      </c>
      <c r="D124" s="303">
        <v>0</v>
      </c>
      <c r="E124" s="41">
        <f t="shared" si="5"/>
        <v>19204546.395260002</v>
      </c>
      <c r="F124" s="2" t="s">
        <v>348</v>
      </c>
      <c r="G124" s="2">
        <v>7010</v>
      </c>
      <c r="H124" s="39" t="s">
        <v>364</v>
      </c>
      <c r="K124" t="s">
        <v>350</v>
      </c>
    </row>
    <row r="125" spans="1:11" ht="15">
      <c r="A125" s="301"/>
      <c r="B125" s="300">
        <v>7110</v>
      </c>
      <c r="C125" s="303">
        <v>6275.4159400000008</v>
      </c>
      <c r="D125" s="303">
        <v>0</v>
      </c>
      <c r="E125" s="41">
        <f t="shared" si="5"/>
        <v>6275.4159400000008</v>
      </c>
      <c r="F125" s="2" t="s">
        <v>350</v>
      </c>
      <c r="G125" s="2">
        <v>7110</v>
      </c>
      <c r="H125" s="39" t="s">
        <v>365</v>
      </c>
      <c r="K125" t="s">
        <v>351</v>
      </c>
    </row>
    <row r="126" spans="1:11" ht="15">
      <c r="A126" s="301"/>
      <c r="B126" s="300">
        <v>7210</v>
      </c>
      <c r="C126" s="303">
        <v>884343.82157999999</v>
      </c>
      <c r="D126" s="303">
        <v>0</v>
      </c>
      <c r="E126" s="41">
        <f t="shared" si="5"/>
        <v>884343.82157999999</v>
      </c>
      <c r="F126" s="2" t="s">
        <v>351</v>
      </c>
      <c r="G126" s="2">
        <v>7210</v>
      </c>
      <c r="H126" s="305" t="s">
        <v>366</v>
      </c>
      <c r="K126" t="s">
        <v>358</v>
      </c>
    </row>
    <row r="127" spans="1:11" ht="15">
      <c r="A127" s="301"/>
      <c r="B127" s="300">
        <v>7220</v>
      </c>
      <c r="C127" s="303">
        <v>34430.896220000002</v>
      </c>
      <c r="D127" s="303">
        <v>0</v>
      </c>
      <c r="E127" s="41">
        <f t="shared" si="5"/>
        <v>34430.896220000002</v>
      </c>
      <c r="F127" s="2" t="s">
        <v>351</v>
      </c>
      <c r="G127" s="2">
        <v>7220</v>
      </c>
      <c r="H127" s="305" t="s">
        <v>366</v>
      </c>
      <c r="K127" t="s">
        <v>354</v>
      </c>
    </row>
    <row r="128" spans="1:11" ht="15">
      <c r="A128" s="301"/>
      <c r="B128" s="300">
        <v>7310</v>
      </c>
      <c r="C128" s="303">
        <v>1199810.9208800001</v>
      </c>
      <c r="D128" s="303">
        <v>0</v>
      </c>
      <c r="E128" s="41">
        <f t="shared" si="5"/>
        <v>1199810.9208800001</v>
      </c>
      <c r="F128" s="2" t="s">
        <v>358</v>
      </c>
      <c r="G128" s="2">
        <v>7310</v>
      </c>
      <c r="H128" s="305" t="s">
        <v>367</v>
      </c>
      <c r="K128">
        <f>Q112</f>
        <v>0</v>
      </c>
    </row>
    <row r="129" spans="1:24" ht="15">
      <c r="A129" s="301"/>
      <c r="B129" s="300">
        <v>7410</v>
      </c>
      <c r="C129" s="303">
        <v>101556.27090999999</v>
      </c>
      <c r="D129" s="303">
        <v>0</v>
      </c>
      <c r="E129" s="41">
        <f t="shared" si="5"/>
        <v>101556.27090999999</v>
      </c>
      <c r="F129" s="2" t="s">
        <v>353</v>
      </c>
      <c r="G129" s="2">
        <v>7410</v>
      </c>
      <c r="H129" s="39" t="s">
        <v>368</v>
      </c>
      <c r="K129" t="s">
        <v>359</v>
      </c>
    </row>
    <row r="130" spans="1:24">
      <c r="A130" s="301"/>
      <c r="B130" s="300">
        <v>7430</v>
      </c>
      <c r="C130" s="303">
        <v>1734080.3695199999</v>
      </c>
      <c r="D130" s="303">
        <v>0</v>
      </c>
      <c r="E130" s="41">
        <f t="shared" si="5"/>
        <v>1734080.3695199999</v>
      </c>
      <c r="F130" s="2" t="s">
        <v>355</v>
      </c>
      <c r="G130" s="2">
        <v>7430</v>
      </c>
      <c r="H130" s="305" t="s">
        <v>363</v>
      </c>
    </row>
    <row r="131" spans="1:24" ht="15">
      <c r="A131" s="301"/>
      <c r="B131" s="300">
        <v>7450</v>
      </c>
      <c r="C131" s="303">
        <v>25558.008539999999</v>
      </c>
      <c r="D131" s="303">
        <v>0</v>
      </c>
      <c r="E131" s="41">
        <f t="shared" si="5"/>
        <v>25558.008539999999</v>
      </c>
      <c r="F131" s="2" t="s">
        <v>353</v>
      </c>
      <c r="G131" s="2">
        <v>7470</v>
      </c>
      <c r="H131" s="39" t="s">
        <v>368</v>
      </c>
      <c r="X131"/>
    </row>
    <row r="132" spans="1:24" ht="15">
      <c r="A132" s="301"/>
      <c r="B132" s="300">
        <v>7470</v>
      </c>
      <c r="C132" s="303">
        <v>99612.835319999998</v>
      </c>
      <c r="D132" s="303">
        <v>0</v>
      </c>
      <c r="E132" s="41">
        <f t="shared" si="5"/>
        <v>99612.835319999998</v>
      </c>
      <c r="F132" s="2" t="s">
        <v>353</v>
      </c>
      <c r="X132"/>
    </row>
    <row r="133" spans="1:24" ht="15">
      <c r="A133" s="302"/>
      <c r="B133" s="298" t="s">
        <v>345</v>
      </c>
      <c r="C133" s="304">
        <v>40405253.03864</v>
      </c>
      <c r="D133" s="304">
        <v>40405253.03864</v>
      </c>
      <c r="X133"/>
    </row>
    <row r="134" spans="1:24" ht="24">
      <c r="A134" s="302"/>
      <c r="B134" s="298" t="s">
        <v>346</v>
      </c>
      <c r="C134" s="299"/>
      <c r="D134" s="299"/>
      <c r="X134"/>
    </row>
    <row r="135" spans="1:24" ht="15">
      <c r="X135"/>
    </row>
    <row r="136" spans="1:24" ht="15">
      <c r="X136"/>
    </row>
    <row r="137" spans="1:24" ht="15">
      <c r="X137"/>
    </row>
    <row r="138" spans="1:24" ht="15">
      <c r="X138"/>
    </row>
    <row r="139" spans="1:24" ht="15">
      <c r="X139"/>
    </row>
    <row r="140" spans="1:24" ht="15">
      <c r="X140"/>
    </row>
    <row r="141" spans="1:24" ht="15">
      <c r="X141"/>
    </row>
    <row r="142" spans="1:24" ht="15">
      <c r="X142"/>
    </row>
    <row r="143" spans="1:24" ht="15">
      <c r="X143"/>
    </row>
    <row r="144" spans="1:24" ht="15">
      <c r="X144"/>
    </row>
    <row r="145" spans="24:24" ht="15">
      <c r="X145"/>
    </row>
    <row r="146" spans="24:24" ht="15">
      <c r="X146"/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zoomScale="80" zoomScaleNormal="80" workbookViewId="0">
      <selection activeCell="A3" sqref="A3"/>
    </sheetView>
  </sheetViews>
  <sheetFormatPr defaultColWidth="8.7109375" defaultRowHeight="12.75"/>
  <cols>
    <col min="1" max="3" width="8.7109375" style="2"/>
    <col min="4" max="4" width="15.28515625" style="2" customWidth="1"/>
    <col min="5" max="5" width="8.7109375" style="2"/>
    <col min="6" max="6" width="17.28515625" style="2" customWidth="1"/>
    <col min="7" max="16384" width="8.7109375" style="2"/>
  </cols>
  <sheetData>
    <row r="2" spans="1:6">
      <c r="A2" s="58">
        <v>16</v>
      </c>
      <c r="B2" s="1" t="s">
        <v>2054</v>
      </c>
    </row>
    <row r="4" spans="1:6">
      <c r="D4" s="217" t="s">
        <v>3164</v>
      </c>
      <c r="E4" s="209"/>
      <c r="F4" s="217" t="s">
        <v>607</v>
      </c>
    </row>
    <row r="5" spans="1:6">
      <c r="B5" s="2" t="s">
        <v>2055</v>
      </c>
      <c r="D5" s="41">
        <f>F7</f>
        <v>111858434</v>
      </c>
      <c r="F5" s="41">
        <v>111858434</v>
      </c>
    </row>
    <row r="6" spans="1:6">
      <c r="B6" s="2" t="s">
        <v>2056</v>
      </c>
      <c r="D6" s="41">
        <v>0</v>
      </c>
      <c r="F6" s="41">
        <v>0</v>
      </c>
    </row>
    <row r="7" spans="1:6" ht="13.5" thickBot="1">
      <c r="B7" s="1" t="s">
        <v>3221</v>
      </c>
      <c r="D7" s="42">
        <f>D6+D5</f>
        <v>111858434</v>
      </c>
      <c r="F7" s="42">
        <f>F6+F5</f>
        <v>111858434</v>
      </c>
    </row>
    <row r="8" spans="1:6" ht="13.5" thickTop="1"/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zoomScale="80" zoomScaleNormal="80" workbookViewId="0">
      <selection activeCell="A10" sqref="A10"/>
    </sheetView>
  </sheetViews>
  <sheetFormatPr defaultColWidth="8.7109375" defaultRowHeight="12.75"/>
  <cols>
    <col min="1" max="1" width="8.7109375" style="2"/>
    <col min="2" max="2" width="29.140625" style="2" customWidth="1"/>
    <col min="3" max="3" width="11.7109375" style="2" customWidth="1"/>
    <col min="4" max="4" width="14.5703125" style="2" customWidth="1"/>
    <col min="5" max="5" width="13.140625" style="2" customWidth="1"/>
    <col min="6" max="6" width="11.5703125" style="2" customWidth="1"/>
    <col min="7" max="7" width="13.7109375" style="2" customWidth="1"/>
    <col min="8" max="8" width="16.140625" style="2" customWidth="1"/>
    <col min="9" max="9" width="14.28515625" style="2" customWidth="1"/>
    <col min="10" max="10" width="19.7109375" style="2" customWidth="1"/>
    <col min="11" max="11" width="15.85546875" style="2" customWidth="1"/>
    <col min="12" max="12" width="15.5703125" style="2" customWidth="1"/>
    <col min="13" max="13" width="13.85546875" style="2" customWidth="1"/>
    <col min="14" max="14" width="12.5703125" style="2" customWidth="1"/>
    <col min="15" max="16384" width="8.7109375" style="2"/>
  </cols>
  <sheetData>
    <row r="2" spans="1:18" s="1" customFormat="1" ht="15">
      <c r="A2" s="686">
        <v>17</v>
      </c>
      <c r="B2" s="1" t="s">
        <v>2057</v>
      </c>
      <c r="D2" s="803"/>
      <c r="E2" s="803"/>
      <c r="F2" s="805"/>
      <c r="G2" s="804"/>
      <c r="H2" s="802"/>
    </row>
    <row r="3" spans="1:18">
      <c r="B3" s="806"/>
      <c r="C3" s="673"/>
      <c r="D3" s="673"/>
      <c r="J3" s="673"/>
      <c r="K3" s="673"/>
      <c r="L3" s="673"/>
    </row>
    <row r="4" spans="1:18" s="582" customFormat="1" ht="38.25">
      <c r="C4" s="506" t="s">
        <v>2058</v>
      </c>
      <c r="D4" s="217" t="s">
        <v>2059</v>
      </c>
      <c r="E4" s="217" t="s">
        <v>2519</v>
      </c>
      <c r="F4" s="217" t="s">
        <v>715</v>
      </c>
      <c r="G4" s="217" t="s">
        <v>3218</v>
      </c>
      <c r="H4" s="506" t="s">
        <v>677</v>
      </c>
      <c r="J4" s="2"/>
      <c r="K4" s="2"/>
      <c r="L4" s="2"/>
      <c r="M4" s="2"/>
      <c r="N4" s="2"/>
      <c r="O4" s="2"/>
      <c r="P4" s="2"/>
      <c r="Q4" s="2"/>
    </row>
    <row r="5" spans="1:18" s="582" customFormat="1">
      <c r="B5" s="2" t="s">
        <v>2510</v>
      </c>
      <c r="C5" s="2" t="s">
        <v>711</v>
      </c>
      <c r="D5" s="504" t="s">
        <v>2062</v>
      </c>
      <c r="E5" s="828">
        <v>0.13200000000000001</v>
      </c>
      <c r="F5" s="504">
        <v>2021</v>
      </c>
      <c r="G5" s="41">
        <v>17254408</v>
      </c>
      <c r="H5" s="41">
        <v>21232479</v>
      </c>
      <c r="J5" s="2"/>
      <c r="K5" s="2"/>
      <c r="L5" s="2"/>
      <c r="M5" s="2"/>
      <c r="N5" s="2"/>
      <c r="O5" s="2"/>
      <c r="P5" s="2"/>
      <c r="Q5" s="2"/>
      <c r="R5" s="647"/>
    </row>
    <row r="6" spans="1:18" s="582" customFormat="1">
      <c r="B6" s="2" t="s">
        <v>2508</v>
      </c>
      <c r="C6" s="2" t="s">
        <v>710</v>
      </c>
      <c r="D6" s="504" t="s">
        <v>2511</v>
      </c>
      <c r="E6" s="828" t="s">
        <v>3180</v>
      </c>
      <c r="F6" s="504" t="s">
        <v>2064</v>
      </c>
      <c r="G6" s="41">
        <v>17239623</v>
      </c>
      <c r="H6" s="41">
        <v>24245209</v>
      </c>
      <c r="I6" s="647"/>
      <c r="J6" s="2"/>
      <c r="K6" s="2"/>
      <c r="L6" s="2"/>
      <c r="M6" s="2"/>
      <c r="N6" s="2"/>
      <c r="O6" s="2"/>
      <c r="P6" s="2"/>
      <c r="Q6" s="2"/>
      <c r="R6" s="647"/>
    </row>
    <row r="7" spans="1:18" s="582" customFormat="1">
      <c r="B7" s="2" t="s">
        <v>2507</v>
      </c>
      <c r="C7" s="2" t="s">
        <v>710</v>
      </c>
      <c r="D7" s="688">
        <v>0.05</v>
      </c>
      <c r="E7" s="828">
        <v>5.0999999999999997E-2</v>
      </c>
      <c r="F7" s="504">
        <v>2021</v>
      </c>
      <c r="G7" s="41">
        <v>11902080</v>
      </c>
      <c r="H7" s="41">
        <v>16039738</v>
      </c>
      <c r="J7" s="2"/>
      <c r="K7" s="2"/>
      <c r="L7" s="2"/>
      <c r="M7" s="2"/>
      <c r="N7" s="2"/>
      <c r="O7" s="2"/>
      <c r="P7" s="2"/>
      <c r="Q7" s="2"/>
      <c r="R7" s="647"/>
    </row>
    <row r="8" spans="1:18">
      <c r="B8" s="2" t="s">
        <v>2506</v>
      </c>
      <c r="C8" s="2" t="s">
        <v>711</v>
      </c>
      <c r="D8" s="504" t="s">
        <v>2062</v>
      </c>
      <c r="E8" s="828">
        <v>0.13200000000000001</v>
      </c>
      <c r="F8" s="504">
        <v>2021</v>
      </c>
      <c r="G8" s="41">
        <v>7689575</v>
      </c>
      <c r="H8" s="41">
        <v>7032590</v>
      </c>
      <c r="R8" s="647"/>
    </row>
    <row r="9" spans="1:18">
      <c r="B9" s="2" t="s">
        <v>2509</v>
      </c>
      <c r="C9" s="2" t="s">
        <v>710</v>
      </c>
      <c r="D9" s="504" t="s">
        <v>2063</v>
      </c>
      <c r="E9" s="829">
        <v>6.3E-2</v>
      </c>
      <c r="F9" s="504">
        <v>2021</v>
      </c>
      <c r="G9" s="41">
        <v>1155820</v>
      </c>
      <c r="H9" s="41">
        <v>1094155</v>
      </c>
      <c r="R9" s="647"/>
    </row>
    <row r="10" spans="1:18">
      <c r="B10" s="2" t="s">
        <v>3168</v>
      </c>
      <c r="C10" s="2" t="s">
        <v>710</v>
      </c>
      <c r="D10" s="504" t="s">
        <v>2063</v>
      </c>
      <c r="E10" s="829">
        <v>6.3E-2</v>
      </c>
      <c r="F10" s="504">
        <v>2021</v>
      </c>
      <c r="G10" s="41">
        <v>0</v>
      </c>
      <c r="H10" s="41">
        <v>3285907</v>
      </c>
      <c r="R10" s="647"/>
    </row>
    <row r="11" spans="1:18" ht="13.5" thickBot="1">
      <c r="B11" s="1" t="s">
        <v>338</v>
      </c>
      <c r="D11" s="41"/>
      <c r="F11" s="41"/>
      <c r="G11" s="42">
        <f>SUM(G5:G10)</f>
        <v>55241506</v>
      </c>
      <c r="H11" s="42">
        <f>SUM(H5:H10)</f>
        <v>72930078</v>
      </c>
      <c r="R11" s="647"/>
    </row>
    <row r="12" spans="1:18" ht="13.5" thickTop="1">
      <c r="B12" s="1" t="s">
        <v>2065</v>
      </c>
      <c r="F12" s="62"/>
      <c r="G12" s="43">
        <v>39783561</v>
      </c>
      <c r="H12" s="41">
        <v>57656279</v>
      </c>
      <c r="I12" s="62"/>
      <c r="R12" s="647"/>
    </row>
    <row r="13" spans="1:18">
      <c r="B13" s="1" t="s">
        <v>2066</v>
      </c>
      <c r="G13" s="43">
        <v>15457945</v>
      </c>
      <c r="H13" s="41">
        <v>15273799</v>
      </c>
      <c r="R13" s="647"/>
    </row>
    <row r="14" spans="1:18">
      <c r="D14" s="61"/>
      <c r="F14" s="218"/>
      <c r="G14" s="62">
        <f>G12-ББ!D42</f>
        <v>0</v>
      </c>
      <c r="H14" s="62">
        <f>H12-ББ!F42</f>
        <v>0</v>
      </c>
    </row>
    <row r="15" spans="1:18">
      <c r="D15" s="218"/>
      <c r="F15" s="218"/>
      <c r="G15" s="62">
        <f>G13-ББ!D52</f>
        <v>0</v>
      </c>
      <c r="H15" s="62">
        <f>ББ!F52-H13</f>
        <v>0</v>
      </c>
      <c r="I15" s="41"/>
    </row>
    <row r="16" spans="1:18">
      <c r="A16" s="674"/>
      <c r="B16" s="545"/>
      <c r="C16" s="363"/>
      <c r="D16" s="896"/>
      <c r="E16" s="896"/>
      <c r="F16" s="363"/>
      <c r="G16" s="807">
        <f>G12+G13-G11</f>
        <v>0</v>
      </c>
      <c r="H16" s="807">
        <f>H12+H13-H11</f>
        <v>0</v>
      </c>
      <c r="I16" s="363"/>
    </row>
    <row r="17" spans="4:5">
      <c r="D17" s="41"/>
      <c r="E17" s="41"/>
    </row>
    <row r="18" spans="4:5">
      <c r="D18" s="41"/>
      <c r="E18" s="41"/>
    </row>
    <row r="19" spans="4:5">
      <c r="D19" s="41"/>
      <c r="E19" s="41"/>
    </row>
    <row r="20" spans="4:5">
      <c r="D20" s="41"/>
      <c r="E20" s="41"/>
    </row>
    <row r="21" spans="4:5">
      <c r="D21" s="41"/>
      <c r="E21" s="41"/>
    </row>
  </sheetData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opLeftCell="A4" zoomScale="80" zoomScaleNormal="80" workbookViewId="0">
      <selection activeCell="E8" sqref="E8"/>
    </sheetView>
  </sheetViews>
  <sheetFormatPr defaultColWidth="13.140625" defaultRowHeight="15"/>
  <cols>
    <col min="1" max="16384" width="13.140625" style="7"/>
  </cols>
  <sheetData>
    <row r="2" spans="1:17">
      <c r="A2" s="124">
        <v>18</v>
      </c>
      <c r="B2" s="124" t="s">
        <v>2067</v>
      </c>
    </row>
    <row r="4" spans="1:17">
      <c r="B4" s="124" t="s">
        <v>2090</v>
      </c>
      <c r="I4" s="588"/>
      <c r="J4" s="588"/>
      <c r="K4" s="588"/>
      <c r="L4" s="588"/>
      <c r="M4" s="588"/>
      <c r="N4" s="588"/>
      <c r="O4" s="588"/>
      <c r="P4" s="588"/>
      <c r="Q4" s="588"/>
    </row>
    <row r="5" spans="1:17" s="586" customFormat="1" ht="30">
      <c r="E5" s="271" t="s">
        <v>3218</v>
      </c>
      <c r="F5" s="268"/>
      <c r="G5" s="271" t="s">
        <v>677</v>
      </c>
      <c r="I5" s="661"/>
      <c r="J5" s="661"/>
      <c r="K5" s="661"/>
      <c r="L5" s="661"/>
      <c r="M5" s="661"/>
      <c r="N5" s="661"/>
      <c r="O5" s="661"/>
      <c r="P5" s="661"/>
      <c r="Q5" s="661"/>
    </row>
    <row r="6" spans="1:17" s="586" customFormat="1">
      <c r="B6" s="7" t="s">
        <v>2068</v>
      </c>
      <c r="C6" s="7"/>
      <c r="D6" s="7"/>
      <c r="E6" s="239">
        <v>29938</v>
      </c>
      <c r="F6" s="7"/>
      <c r="G6" s="239">
        <v>207086</v>
      </c>
      <c r="I6" s="661"/>
      <c r="J6" s="903"/>
      <c r="K6" s="904"/>
      <c r="L6" s="662"/>
      <c r="M6" s="662"/>
      <c r="N6" s="661"/>
      <c r="O6" s="661"/>
      <c r="P6" s="661"/>
      <c r="Q6" s="661"/>
    </row>
    <row r="7" spans="1:17" ht="15.75" thickBot="1">
      <c r="E7" s="180">
        <f>SUM(E6:E6)</f>
        <v>29938</v>
      </c>
      <c r="G7" s="180">
        <f>SUM(G6:G6)</f>
        <v>207086</v>
      </c>
      <c r="I7" s="793"/>
      <c r="J7" s="903"/>
      <c r="K7" s="794"/>
      <c r="L7" s="662"/>
      <c r="M7" s="662"/>
      <c r="N7" s="588"/>
      <c r="O7" s="588"/>
      <c r="P7" s="588"/>
      <c r="Q7" s="588"/>
    </row>
    <row r="8" spans="1:17" s="477" customFormat="1" ht="15.75" thickTop="1">
      <c r="C8" s="234"/>
      <c r="E8" s="293">
        <f>E7-ББ!D43</f>
        <v>0</v>
      </c>
      <c r="G8" s="293">
        <f>G7-ББ!F43</f>
        <v>0</v>
      </c>
      <c r="I8" s="735"/>
      <c r="J8" s="735"/>
      <c r="K8" s="735"/>
      <c r="L8" s="723"/>
      <c r="M8" s="723"/>
      <c r="N8" s="735"/>
      <c r="O8" s="735"/>
      <c r="P8" s="735"/>
      <c r="Q8" s="735"/>
    </row>
    <row r="9" spans="1:17">
      <c r="E9" s="239"/>
      <c r="I9" s="588"/>
      <c r="J9" s="588"/>
      <c r="K9" s="588"/>
      <c r="L9" s="588"/>
      <c r="M9" s="588"/>
      <c r="N9" s="588"/>
      <c r="O9" s="588"/>
      <c r="P9" s="588"/>
      <c r="Q9" s="588"/>
    </row>
    <row r="10" spans="1:17">
      <c r="E10" s="239"/>
      <c r="I10" s="588"/>
      <c r="J10" s="588"/>
      <c r="K10" s="588"/>
      <c r="L10" s="588"/>
      <c r="M10" s="588"/>
      <c r="N10" s="588"/>
      <c r="O10" s="588"/>
      <c r="P10" s="588"/>
      <c r="Q10" s="588"/>
    </row>
    <row r="11" spans="1:17">
      <c r="E11" s="239"/>
      <c r="I11" s="588"/>
      <c r="J11" s="588"/>
      <c r="K11" s="588"/>
      <c r="L11" s="588"/>
      <c r="M11" s="588"/>
      <c r="N11" s="588"/>
      <c r="O11" s="588"/>
      <c r="P11" s="588"/>
      <c r="Q11" s="588"/>
    </row>
    <row r="12" spans="1:17">
      <c r="B12" s="124" t="s">
        <v>2091</v>
      </c>
      <c r="I12" s="588"/>
      <c r="J12" s="588"/>
      <c r="K12" s="588"/>
      <c r="L12" s="588"/>
      <c r="M12" s="588"/>
      <c r="N12" s="588"/>
      <c r="O12" s="588"/>
    </row>
    <row r="13" spans="1:17" ht="30">
      <c r="E13" s="271" t="s">
        <v>3218</v>
      </c>
      <c r="F13" s="268"/>
      <c r="G13" s="271" t="s">
        <v>677</v>
      </c>
      <c r="I13" s="588"/>
      <c r="J13" s="588"/>
      <c r="K13" s="588"/>
      <c r="L13" s="588"/>
      <c r="M13" s="588"/>
      <c r="N13" s="588"/>
      <c r="O13" s="588"/>
    </row>
    <row r="14" spans="1:17">
      <c r="B14" s="7" t="s">
        <v>2069</v>
      </c>
      <c r="E14" s="239">
        <v>6419126</v>
      </c>
      <c r="G14" s="239">
        <v>7115428</v>
      </c>
      <c r="I14" s="793"/>
      <c r="J14" s="905"/>
      <c r="K14" s="905"/>
      <c r="L14" s="587"/>
      <c r="M14" s="587"/>
      <c r="N14" s="588"/>
      <c r="O14" s="588"/>
    </row>
    <row r="15" spans="1:17">
      <c r="B15" s="7" t="s">
        <v>2071</v>
      </c>
      <c r="E15" s="239">
        <v>3447190</v>
      </c>
      <c r="G15" s="239">
        <v>3489581</v>
      </c>
      <c r="I15" s="793"/>
      <c r="J15" s="905"/>
      <c r="K15" s="905"/>
      <c r="L15" s="587"/>
      <c r="M15" s="587"/>
      <c r="N15" s="588"/>
      <c r="O15" s="588"/>
    </row>
    <row r="16" spans="1:17">
      <c r="B16" s="7" t="s">
        <v>2072</v>
      </c>
      <c r="E16" s="239">
        <v>939912</v>
      </c>
      <c r="G16" s="239">
        <v>831757</v>
      </c>
      <c r="I16" s="793"/>
      <c r="J16" s="905"/>
      <c r="K16" s="905"/>
      <c r="L16" s="587"/>
      <c r="M16" s="587"/>
      <c r="N16" s="588"/>
      <c r="O16" s="588"/>
    </row>
    <row r="17" spans="2:15">
      <c r="B17" s="7" t="s">
        <v>2070</v>
      </c>
      <c r="E17" s="239">
        <v>701757</v>
      </c>
      <c r="G17" s="239">
        <v>1137773</v>
      </c>
      <c r="I17" s="793"/>
      <c r="J17" s="905"/>
      <c r="K17" s="905"/>
      <c r="L17" s="587"/>
      <c r="M17" s="587"/>
      <c r="N17" s="588"/>
      <c r="O17" s="588"/>
    </row>
    <row r="18" spans="2:15">
      <c r="B18" s="7" t="s">
        <v>2073</v>
      </c>
      <c r="E18" s="239">
        <v>58472</v>
      </c>
      <c r="G18" s="239">
        <v>105190</v>
      </c>
      <c r="I18" s="793"/>
      <c r="J18" s="905"/>
      <c r="K18" s="905"/>
      <c r="L18" s="587"/>
      <c r="M18" s="587"/>
      <c r="N18" s="588"/>
      <c r="O18" s="588"/>
    </row>
    <row r="19" spans="2:15" ht="15.75" thickBot="1">
      <c r="E19" s="180">
        <f>SUM(E14:E18)</f>
        <v>11566457</v>
      </c>
      <c r="G19" s="180">
        <f>SUM(G14:G18)</f>
        <v>12679729</v>
      </c>
      <c r="I19" s="793"/>
      <c r="J19" s="794"/>
      <c r="K19" s="905"/>
      <c r="L19" s="587"/>
      <c r="M19" s="587"/>
      <c r="N19" s="588"/>
      <c r="O19" s="588"/>
    </row>
    <row r="20" spans="2:15" ht="15.75" thickTop="1">
      <c r="C20" s="234"/>
      <c r="E20" s="293">
        <f>E19-ББ!D53</f>
        <v>0</v>
      </c>
      <c r="G20" s="293">
        <f>G19-ББ!F53</f>
        <v>0</v>
      </c>
      <c r="I20" s="588"/>
      <c r="J20" s="588"/>
      <c r="K20" s="588"/>
      <c r="L20" s="588"/>
      <c r="M20" s="588"/>
      <c r="N20" s="588"/>
      <c r="O20" s="588"/>
    </row>
    <row r="21" spans="2:15">
      <c r="D21" s="239"/>
      <c r="I21" s="588"/>
      <c r="J21" s="588"/>
      <c r="K21" s="588"/>
      <c r="L21" s="588"/>
      <c r="M21" s="587"/>
      <c r="N21" s="588"/>
      <c r="O21" s="588"/>
    </row>
    <row r="22" spans="2:15">
      <c r="D22" s="239"/>
      <c r="F22" s="239"/>
      <c r="I22" s="588"/>
      <c r="J22" s="588"/>
      <c r="K22" s="588"/>
      <c r="L22" s="588"/>
      <c r="M22" s="588"/>
      <c r="N22" s="588"/>
      <c r="O22" s="588"/>
    </row>
    <row r="23" spans="2:15">
      <c r="E23" s="239"/>
      <c r="I23" s="588"/>
      <c r="J23" s="588"/>
      <c r="K23" s="588"/>
      <c r="L23" s="588"/>
      <c r="M23" s="588"/>
      <c r="N23" s="588"/>
      <c r="O23" s="588"/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zoomScale="80" zoomScaleNormal="80" workbookViewId="0">
      <selection activeCell="E12" sqref="E12"/>
    </sheetView>
  </sheetViews>
  <sheetFormatPr defaultColWidth="8.7109375" defaultRowHeight="15"/>
  <cols>
    <col min="1" max="3" width="8.7109375" style="7"/>
    <col min="4" max="4" width="10.42578125" style="7" bestFit="1" customWidth="1"/>
    <col min="5" max="5" width="13.28515625" style="7" customWidth="1"/>
    <col min="6" max="6" width="8.7109375" style="7"/>
    <col min="7" max="7" width="22.140625" style="7" customWidth="1"/>
    <col min="8" max="8" width="10.42578125" style="7" bestFit="1" customWidth="1"/>
    <col min="9" max="10" width="11.85546875" style="7" bestFit="1" customWidth="1"/>
    <col min="11" max="11" width="9.42578125" style="7" bestFit="1" customWidth="1"/>
    <col min="12" max="12" width="22.140625" style="7" customWidth="1"/>
    <col min="13" max="13" width="9.42578125" style="7" bestFit="1" customWidth="1"/>
    <col min="14" max="16384" width="8.7109375" style="7"/>
  </cols>
  <sheetData>
    <row r="2" spans="1:15">
      <c r="A2" s="125">
        <v>19</v>
      </c>
      <c r="B2" s="124" t="s">
        <v>2450</v>
      </c>
    </row>
    <row r="4" spans="1:15">
      <c r="I4" s="588"/>
      <c r="J4" s="588"/>
      <c r="K4" s="588"/>
      <c r="L4" s="588"/>
      <c r="M4" s="588"/>
      <c r="N4" s="588"/>
    </row>
    <row r="5" spans="1:15" ht="30">
      <c r="E5" s="271" t="s">
        <v>3218</v>
      </c>
      <c r="G5" s="271" t="s">
        <v>3222</v>
      </c>
      <c r="H5" s="588"/>
      <c r="I5" s="588"/>
      <c r="J5" s="648"/>
      <c r="K5" s="648"/>
      <c r="L5" s="648"/>
      <c r="M5" s="648"/>
      <c r="N5" s="648"/>
      <c r="O5" s="648"/>
    </row>
    <row r="6" spans="1:15">
      <c r="B6" s="7" t="s">
        <v>2514</v>
      </c>
      <c r="E6" s="239">
        <v>825780</v>
      </c>
      <c r="G6" s="239">
        <v>705000</v>
      </c>
      <c r="H6" s="588"/>
      <c r="I6" s="793"/>
      <c r="J6" s="794"/>
      <c r="K6" s="795"/>
      <c r="L6" s="704"/>
      <c r="M6" s="706"/>
      <c r="N6" s="648"/>
      <c r="O6" s="648"/>
    </row>
    <row r="7" spans="1:15">
      <c r="E7" s="239"/>
      <c r="G7" s="239"/>
      <c r="H7" s="588"/>
      <c r="I7" s="793"/>
      <c r="J7" s="794"/>
      <c r="K7" s="795"/>
      <c r="L7" s="704"/>
      <c r="M7" s="706"/>
      <c r="N7" s="648"/>
      <c r="O7" s="648"/>
    </row>
    <row r="8" spans="1:15">
      <c r="B8" s="796" t="s">
        <v>3165</v>
      </c>
      <c r="E8" s="239">
        <v>0</v>
      </c>
      <c r="F8" s="239"/>
      <c r="H8" s="588"/>
      <c r="I8" s="793"/>
      <c r="J8" s="794"/>
      <c r="K8" s="795"/>
      <c r="L8" s="704"/>
      <c r="M8" s="706"/>
      <c r="N8" s="648"/>
      <c r="O8" s="648"/>
    </row>
    <row r="9" spans="1:15">
      <c r="B9" s="796" t="s">
        <v>3166</v>
      </c>
      <c r="E9" s="239">
        <v>54625</v>
      </c>
      <c r="F9" s="239"/>
      <c r="G9" s="239">
        <v>46583</v>
      </c>
      <c r="H9" s="588"/>
      <c r="I9" s="816"/>
      <c r="J9" s="794"/>
      <c r="K9" s="795"/>
      <c r="L9" s="704"/>
      <c r="M9" s="706"/>
      <c r="N9" s="648"/>
      <c r="O9" s="648"/>
    </row>
    <row r="10" spans="1:15">
      <c r="B10" s="796" t="s">
        <v>3167</v>
      </c>
      <c r="E10" s="706">
        <v>-16450</v>
      </c>
      <c r="F10" s="239"/>
      <c r="G10" s="239">
        <v>0</v>
      </c>
      <c r="H10" s="588"/>
      <c r="I10" s="816"/>
      <c r="J10" s="794"/>
      <c r="K10" s="795"/>
      <c r="L10" s="704"/>
      <c r="M10" s="706"/>
      <c r="N10" s="648"/>
      <c r="O10" s="648"/>
    </row>
    <row r="11" spans="1:15" ht="15.75" thickBot="1">
      <c r="E11" s="180">
        <f>SUM(E6:E10)</f>
        <v>863955</v>
      </c>
      <c r="F11" s="239"/>
      <c r="G11" s="791">
        <f>SUM(G6:G10)</f>
        <v>751583</v>
      </c>
      <c r="H11" s="588"/>
      <c r="I11" s="191"/>
      <c r="J11" s="706"/>
      <c r="K11" s="648"/>
      <c r="L11" s="648"/>
      <c r="M11" s="648"/>
      <c r="N11" s="648"/>
      <c r="O11" s="648"/>
    </row>
    <row r="12" spans="1:15" ht="15.75" thickTop="1">
      <c r="D12" s="234"/>
      <c r="E12" s="293">
        <f>ББ!D45+ББ!D57-E11</f>
        <v>0</v>
      </c>
      <c r="G12" s="293"/>
      <c r="H12" s="588"/>
      <c r="I12" s="588"/>
      <c r="J12" s="648"/>
      <c r="K12" s="648"/>
      <c r="L12" s="648"/>
      <c r="M12" s="648"/>
      <c r="N12" s="648"/>
      <c r="O12" s="648"/>
    </row>
    <row r="13" spans="1:15">
      <c r="B13" s="548"/>
      <c r="E13" s="239"/>
      <c r="G13" s="239"/>
      <c r="I13" s="809"/>
    </row>
    <row r="14" spans="1:15">
      <c r="E14" s="290" t="s">
        <v>607</v>
      </c>
      <c r="F14" s="588"/>
      <c r="G14" s="290" t="s">
        <v>683</v>
      </c>
      <c r="L14" s="239"/>
    </row>
    <row r="15" spans="1:15">
      <c r="B15" s="7" t="s">
        <v>2448</v>
      </c>
      <c r="E15" s="792">
        <v>8.8200000000000001E-2</v>
      </c>
      <c r="G15" s="792">
        <v>8.8099999999999998E-2</v>
      </c>
    </row>
    <row r="16" spans="1:15">
      <c r="B16" s="7" t="s">
        <v>2449</v>
      </c>
      <c r="E16" s="792">
        <v>5.2999999999999999E-2</v>
      </c>
      <c r="G16" s="792">
        <v>5.5800000000000002E-2</v>
      </c>
    </row>
    <row r="21" spans="2:9" hidden="1"/>
    <row r="22" spans="2:9" hidden="1"/>
    <row r="23" spans="2:9" hidden="1"/>
    <row r="24" spans="2:9" hidden="1">
      <c r="B24" s="7" t="s">
        <v>2513</v>
      </c>
      <c r="D24" s="239">
        <v>57412</v>
      </c>
      <c r="E24" s="239">
        <f>ROUND(E15*$D$24/2,0)</f>
        <v>2532</v>
      </c>
      <c r="F24" s="239">
        <f>E10</f>
        <v>-16450</v>
      </c>
      <c r="G24" s="239">
        <f>SUM(D24:F24)</f>
        <v>43494</v>
      </c>
      <c r="H24" s="239" t="e">
        <f>ББ!#REF!</f>
        <v>#REF!</v>
      </c>
      <c r="I24" s="239" t="e">
        <f>H24-G24</f>
        <v>#REF!</v>
      </c>
    </row>
    <row r="25" spans="2:9" hidden="1">
      <c r="B25" s="7" t="s">
        <v>698</v>
      </c>
      <c r="D25" s="239">
        <v>768368</v>
      </c>
      <c r="E25" s="239">
        <f>ROUND(D25*E15/2,0)</f>
        <v>33885</v>
      </c>
      <c r="G25" s="239">
        <f>SUM(D25:F25)</f>
        <v>802253</v>
      </c>
      <c r="H25" s="239" t="e">
        <f>ББ!#REF!</f>
        <v>#REF!</v>
      </c>
      <c r="I25" s="239" t="e">
        <f>H25-G25</f>
        <v>#REF!</v>
      </c>
    </row>
    <row r="26" spans="2:9" hidden="1"/>
    <row r="27" spans="2:9" hidden="1"/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zoomScale="80" zoomScaleNormal="80" workbookViewId="0">
      <selection activeCell="B9" sqref="B9"/>
    </sheetView>
  </sheetViews>
  <sheetFormatPr defaultColWidth="8.7109375" defaultRowHeight="12.75"/>
  <cols>
    <col min="1" max="3" width="8.7109375" style="2"/>
    <col min="4" max="4" width="17.42578125" style="2" customWidth="1"/>
    <col min="5" max="5" width="11.42578125" style="2" bestFit="1" customWidth="1"/>
    <col min="6" max="6" width="12.42578125" style="2" bestFit="1" customWidth="1"/>
    <col min="7" max="7" width="9.140625" style="2" bestFit="1" customWidth="1"/>
    <col min="8" max="10" width="8.7109375" style="2"/>
    <col min="11" max="12" width="10.5703125" style="2" bestFit="1" customWidth="1"/>
    <col min="13" max="16384" width="8.7109375" style="2"/>
  </cols>
  <sheetData>
    <row r="2" spans="1:16">
      <c r="A2" s="58">
        <v>20</v>
      </c>
      <c r="B2" s="1" t="s">
        <v>2077</v>
      </c>
      <c r="H2" s="673"/>
      <c r="I2" s="673"/>
      <c r="J2" s="673"/>
      <c r="K2" s="673"/>
      <c r="L2" s="673"/>
      <c r="M2" s="673"/>
      <c r="N2" s="673"/>
      <c r="O2" s="673"/>
    </row>
    <row r="3" spans="1:16">
      <c r="B3" s="731" t="s">
        <v>3223</v>
      </c>
      <c r="C3" s="731"/>
      <c r="D3" s="906">
        <v>17269987</v>
      </c>
      <c r="I3" s="673"/>
      <c r="J3" s="673"/>
      <c r="K3" s="673"/>
      <c r="L3" s="673"/>
      <c r="M3" s="673"/>
      <c r="N3" s="673"/>
      <c r="O3" s="673"/>
      <c r="P3" s="673"/>
    </row>
    <row r="4" spans="1:16">
      <c r="B4" s="622" t="s">
        <v>725</v>
      </c>
      <c r="C4" s="622"/>
      <c r="D4" s="906">
        <v>0</v>
      </c>
      <c r="I4" s="673"/>
      <c r="J4" s="673"/>
      <c r="K4" s="673"/>
      <c r="L4" s="673"/>
      <c r="M4" s="673"/>
      <c r="N4" s="673"/>
      <c r="O4" s="673"/>
      <c r="P4" s="673"/>
    </row>
    <row r="5" spans="1:16">
      <c r="B5" s="622" t="s">
        <v>2080</v>
      </c>
      <c r="C5" s="622"/>
      <c r="D5" s="906">
        <v>-9296709</v>
      </c>
      <c r="I5" s="673"/>
      <c r="J5" s="673"/>
      <c r="K5" s="673"/>
      <c r="L5" s="673"/>
      <c r="M5" s="673"/>
      <c r="N5" s="673"/>
      <c r="O5" s="673"/>
      <c r="P5" s="673"/>
    </row>
    <row r="6" spans="1:16" ht="13.5" thickBot="1">
      <c r="B6" s="622" t="s">
        <v>3224</v>
      </c>
      <c r="C6" s="622"/>
      <c r="D6" s="906">
        <v>1290484</v>
      </c>
      <c r="I6" s="673"/>
      <c r="J6" s="673"/>
      <c r="K6" s="673"/>
      <c r="L6" s="673"/>
      <c r="M6" s="673"/>
      <c r="N6" s="673"/>
      <c r="O6" s="673"/>
      <c r="P6" s="673"/>
    </row>
    <row r="7" spans="1:16">
      <c r="B7" s="907" t="s">
        <v>2282</v>
      </c>
      <c r="C7" s="907"/>
      <c r="D7" s="908">
        <f>SUM(D3:D6)</f>
        <v>9263762</v>
      </c>
      <c r="E7" s="62">
        <f>D7-ББ!F47</f>
        <v>0</v>
      </c>
      <c r="I7" s="673"/>
      <c r="J7" s="673"/>
      <c r="K7" s="673"/>
      <c r="L7" s="673"/>
      <c r="M7" s="673"/>
      <c r="N7" s="673"/>
      <c r="O7" s="673"/>
      <c r="P7" s="673"/>
    </row>
    <row r="8" spans="1:16">
      <c r="B8" s="622" t="s">
        <v>2080</v>
      </c>
      <c r="C8" s="622"/>
      <c r="D8" s="909">
        <v>1333453</v>
      </c>
      <c r="I8" s="673"/>
      <c r="J8" s="673"/>
      <c r="K8" s="673"/>
      <c r="L8" s="673"/>
      <c r="M8" s="673"/>
      <c r="N8" s="673"/>
      <c r="O8" s="673"/>
      <c r="P8" s="673"/>
    </row>
    <row r="9" spans="1:16" ht="13.5" thickBot="1">
      <c r="B9" s="910" t="s">
        <v>3224</v>
      </c>
      <c r="C9" s="910"/>
      <c r="D9" s="911">
        <v>529136</v>
      </c>
    </row>
    <row r="10" spans="1:16" ht="13.5" thickBot="1">
      <c r="B10" s="912" t="s">
        <v>3225</v>
      </c>
      <c r="C10" s="912"/>
      <c r="D10" s="913">
        <f>SUM(D7:D9)</f>
        <v>11126351</v>
      </c>
    </row>
    <row r="11" spans="1:16" ht="13.5" thickTop="1">
      <c r="D11" s="62">
        <f>D10-ББ!D47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="80" zoomScaleNormal="80" workbookViewId="0">
      <selection activeCell="B4" sqref="B4"/>
    </sheetView>
  </sheetViews>
  <sheetFormatPr defaultRowHeight="15"/>
  <cols>
    <col min="4" max="4" width="19.85546875" customWidth="1"/>
    <col min="6" max="6" width="12.85546875" bestFit="1" customWidth="1"/>
    <col min="8" max="8" width="12.85546875" bestFit="1" customWidth="1"/>
    <col min="9" max="10" width="11.85546875" bestFit="1" customWidth="1"/>
  </cols>
  <sheetData>
    <row r="2" spans="1:11" s="2" customFormat="1" ht="12.75"/>
    <row r="3" spans="1:11" s="2" customFormat="1" ht="12.75">
      <c r="A3" s="58">
        <v>21</v>
      </c>
      <c r="B3" s="1" t="s">
        <v>2550</v>
      </c>
    </row>
    <row r="4" spans="1:11" s="2" customFormat="1" ht="12.75"/>
    <row r="5" spans="1:11" s="58" customFormat="1" ht="30">
      <c r="D5" s="271" t="s">
        <v>3218</v>
      </c>
      <c r="E5" s="268"/>
      <c r="F5" s="271" t="s">
        <v>2061</v>
      </c>
      <c r="H5" s="637"/>
      <c r="I5" s="637"/>
      <c r="J5" s="637"/>
      <c r="K5" s="637"/>
    </row>
    <row r="6" spans="1:11">
      <c r="B6" t="s">
        <v>2551</v>
      </c>
      <c r="D6" s="5">
        <v>10012231</v>
      </c>
      <c r="E6" s="5"/>
      <c r="F6" s="5">
        <v>12176834</v>
      </c>
      <c r="H6" s="153"/>
      <c r="I6" s="153"/>
      <c r="J6" s="153"/>
      <c r="K6" s="153"/>
    </row>
    <row r="7" spans="1:11" ht="15.75" thickBot="1">
      <c r="D7" s="180">
        <f>SUM(D6)</f>
        <v>10012231</v>
      </c>
      <c r="E7" s="5"/>
      <c r="F7" s="179">
        <f>F6</f>
        <v>12176834</v>
      </c>
      <c r="H7" s="153"/>
      <c r="I7" s="153"/>
      <c r="J7" s="153"/>
      <c r="K7" s="153"/>
    </row>
    <row r="8" spans="1:11" ht="15.75" thickTop="1">
      <c r="B8" s="671" t="s">
        <v>2964</v>
      </c>
      <c r="D8" s="191">
        <v>5788759</v>
      </c>
      <c r="E8" s="5"/>
      <c r="F8" s="5">
        <v>5788759</v>
      </c>
      <c r="H8" s="559"/>
      <c r="I8" s="724"/>
      <c r="J8" s="442"/>
      <c r="K8" s="153"/>
    </row>
    <row r="9" spans="1:11">
      <c r="B9" s="671" t="s">
        <v>697</v>
      </c>
      <c r="D9" s="191">
        <v>4223472</v>
      </c>
      <c r="E9" s="5"/>
      <c r="F9" s="442">
        <v>6388075</v>
      </c>
      <c r="H9" s="559"/>
      <c r="I9" s="724"/>
      <c r="J9" s="442"/>
      <c r="K9" s="153"/>
    </row>
    <row r="10" spans="1:11" s="477" customFormat="1">
      <c r="D10" s="293">
        <f>D8-ББ!D44</f>
        <v>0</v>
      </c>
      <c r="E10" s="293"/>
      <c r="F10" s="293">
        <f>F8-ББ!F44</f>
        <v>0</v>
      </c>
      <c r="H10" s="559"/>
      <c r="I10" s="724"/>
      <c r="J10" s="723"/>
      <c r="K10" s="735"/>
    </row>
    <row r="11" spans="1:11">
      <c r="C11" s="234"/>
      <c r="D11" s="293">
        <f>D9-ББ!D54</f>
        <v>0</v>
      </c>
      <c r="F11" s="293">
        <f>F9-ББ!F54</f>
        <v>0</v>
      </c>
      <c r="H11" s="153"/>
      <c r="I11" s="153"/>
      <c r="J11" s="153"/>
      <c r="K11" s="153"/>
    </row>
    <row r="12" spans="1:11">
      <c r="H12" s="153"/>
      <c r="I12" s="153"/>
      <c r="J12" s="153"/>
      <c r="K12" s="153"/>
    </row>
    <row r="13" spans="1:11">
      <c r="H13" s="153"/>
      <c r="I13" s="153"/>
      <c r="J13" s="153"/>
      <c r="K13" s="15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80" zoomScaleNormal="80" workbookViewId="0">
      <selection activeCell="A3" sqref="A3"/>
    </sheetView>
  </sheetViews>
  <sheetFormatPr defaultColWidth="8.7109375" defaultRowHeight="12.75"/>
  <cols>
    <col min="1" max="3" width="8.7109375" style="2"/>
    <col min="4" max="4" width="12.7109375" style="2" customWidth="1"/>
    <col min="5" max="5" width="5.5703125" style="2" customWidth="1"/>
    <col min="6" max="6" width="12.7109375" style="2" customWidth="1"/>
    <col min="7" max="16384" width="8.7109375" style="2"/>
  </cols>
  <sheetData>
    <row r="2" spans="1:14">
      <c r="A2" s="58">
        <v>22</v>
      </c>
      <c r="B2" s="1" t="s">
        <v>2092</v>
      </c>
    </row>
    <row r="3" spans="1:14">
      <c r="H3" s="673"/>
      <c r="I3" s="673"/>
      <c r="J3" s="673"/>
      <c r="K3" s="673"/>
      <c r="L3" s="673"/>
      <c r="M3" s="673"/>
    </row>
    <row r="4" spans="1:14" s="215" customFormat="1" ht="25.5">
      <c r="D4" s="217" t="s">
        <v>3218</v>
      </c>
      <c r="E4" s="209"/>
      <c r="F4" s="217" t="s">
        <v>2061</v>
      </c>
      <c r="H4" s="664"/>
      <c r="I4" s="664"/>
      <c r="J4" s="664"/>
      <c r="K4" s="664"/>
      <c r="L4" s="664"/>
      <c r="M4" s="664"/>
      <c r="N4" s="664"/>
    </row>
    <row r="5" spans="1:14" s="582" customFormat="1">
      <c r="B5" s="2" t="s">
        <v>2094</v>
      </c>
      <c r="C5" s="2"/>
      <c r="D5" s="41">
        <v>4927594</v>
      </c>
      <c r="E5" s="2"/>
      <c r="F5" s="41">
        <v>4338379</v>
      </c>
      <c r="H5" s="559"/>
      <c r="I5" s="724"/>
      <c r="J5" s="687"/>
      <c r="K5" s="687"/>
      <c r="L5" s="687"/>
      <c r="M5" s="664"/>
      <c r="N5" s="664"/>
    </row>
    <row r="6" spans="1:14" s="582" customFormat="1">
      <c r="B6" s="2" t="s">
        <v>2095</v>
      </c>
      <c r="C6" s="2"/>
      <c r="D6" s="365">
        <v>1164065</v>
      </c>
      <c r="E6" s="2"/>
      <c r="F6" s="41">
        <v>1596884</v>
      </c>
      <c r="H6" s="559"/>
      <c r="I6" s="724"/>
      <c r="J6" s="687"/>
      <c r="K6" s="687"/>
      <c r="L6" s="687"/>
      <c r="M6" s="664"/>
      <c r="N6" s="664"/>
    </row>
    <row r="7" spans="1:14" ht="13.5" thickBot="1">
      <c r="D7" s="42">
        <f>SUM(D5:D6)</f>
        <v>6091659</v>
      </c>
      <c r="F7" s="42">
        <f>SUM(F5:F6)</f>
        <v>5935263</v>
      </c>
      <c r="H7" s="559"/>
      <c r="I7" s="724"/>
      <c r="J7" s="687"/>
      <c r="K7" s="687"/>
      <c r="L7" s="687"/>
      <c r="M7" s="673"/>
      <c r="N7" s="673"/>
    </row>
    <row r="8" spans="1:14" ht="13.5" thickTop="1">
      <c r="B8" s="61"/>
      <c r="D8" s="62">
        <f>D7-ББ!D55</f>
        <v>0</v>
      </c>
      <c r="F8" s="62">
        <f>F7-ББ!F55</f>
        <v>0</v>
      </c>
      <c r="H8" s="673"/>
      <c r="I8" s="673"/>
      <c r="J8" s="673"/>
      <c r="K8" s="673"/>
      <c r="L8" s="673"/>
      <c r="M8" s="673"/>
    </row>
    <row r="9" spans="1:14">
      <c r="H9" s="673"/>
      <c r="I9" s="673"/>
      <c r="J9" s="673"/>
      <c r="K9" s="673"/>
      <c r="L9" s="673"/>
      <c r="M9" s="673"/>
    </row>
    <row r="10" spans="1:14">
      <c r="H10" s="673"/>
      <c r="I10" s="673"/>
      <c r="J10" s="673"/>
      <c r="K10" s="673"/>
      <c r="L10" s="673"/>
      <c r="M10" s="673"/>
    </row>
    <row r="11" spans="1:14">
      <c r="H11" s="673"/>
      <c r="I11" s="673"/>
      <c r="J11" s="673"/>
      <c r="K11" s="673"/>
      <c r="L11" s="673"/>
      <c r="M11" s="673"/>
    </row>
    <row r="12" spans="1:14">
      <c r="H12" s="673"/>
      <c r="I12" s="673"/>
      <c r="J12" s="673"/>
      <c r="K12" s="673"/>
      <c r="L12" s="673"/>
      <c r="M12" s="673"/>
    </row>
    <row r="13" spans="1:14">
      <c r="H13" s="673"/>
      <c r="I13" s="673"/>
      <c r="J13" s="673"/>
      <c r="K13" s="673"/>
      <c r="L13" s="67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zoomScale="70" zoomScaleNormal="70" workbookViewId="0">
      <selection activeCell="J4" sqref="J4:N17"/>
    </sheetView>
  </sheetViews>
  <sheetFormatPr defaultRowHeight="15"/>
  <cols>
    <col min="4" max="4" width="15.42578125" customWidth="1"/>
    <col min="5" max="5" width="13.85546875" customWidth="1"/>
    <col min="6" max="6" width="13.42578125" customWidth="1"/>
    <col min="7" max="7" width="11.140625" customWidth="1"/>
    <col min="8" max="8" width="13.28515625" customWidth="1"/>
    <col min="9" max="9" width="10.5703125" customWidth="1"/>
    <col min="10" max="11" width="10.42578125" bestFit="1" customWidth="1"/>
    <col min="12" max="12" width="16.85546875" customWidth="1"/>
    <col min="13" max="13" width="14.5703125" customWidth="1"/>
    <col min="14" max="14" width="16.7109375" customWidth="1"/>
  </cols>
  <sheetData>
    <row r="2" spans="1:15">
      <c r="A2" s="125">
        <v>23</v>
      </c>
      <c r="B2" s="124" t="s">
        <v>2081</v>
      </c>
    </row>
    <row r="3" spans="1:15">
      <c r="J3" s="153"/>
      <c r="K3" s="153"/>
      <c r="L3" s="153"/>
      <c r="M3" s="153"/>
      <c r="N3" s="153"/>
      <c r="O3" s="153"/>
    </row>
    <row r="4" spans="1:15" s="226" customFormat="1" ht="30">
      <c r="F4" s="217" t="s">
        <v>3218</v>
      </c>
      <c r="G4" s="268"/>
      <c r="H4" s="271" t="s">
        <v>2060</v>
      </c>
      <c r="J4"/>
      <c r="K4"/>
      <c r="L4"/>
      <c r="M4"/>
      <c r="N4"/>
      <c r="O4" s="660"/>
    </row>
    <row r="5" spans="1:15">
      <c r="B5" t="s">
        <v>2082</v>
      </c>
      <c r="F5" s="5">
        <v>1641253</v>
      </c>
      <c r="H5" s="5">
        <v>1142963</v>
      </c>
      <c r="O5" s="153"/>
    </row>
    <row r="6" spans="1:15">
      <c r="B6" t="s">
        <v>2096</v>
      </c>
      <c r="F6" s="5">
        <v>33185</v>
      </c>
      <c r="H6" s="5">
        <v>43477</v>
      </c>
      <c r="O6" s="153"/>
    </row>
    <row r="7" spans="1:15" s="124" customFormat="1" ht="15.75" thickBot="1">
      <c r="F7" s="180">
        <f>SUM(F5:F6)</f>
        <v>1674438</v>
      </c>
      <c r="H7" s="180">
        <f>SUM(H5:H6)</f>
        <v>1186440</v>
      </c>
      <c r="J7"/>
      <c r="K7"/>
      <c r="L7"/>
      <c r="M7"/>
      <c r="N7"/>
      <c r="O7" s="665"/>
    </row>
    <row r="8" spans="1:15" ht="15.75" thickTop="1">
      <c r="F8" s="5"/>
      <c r="O8" s="153"/>
    </row>
    <row r="9" spans="1:15">
      <c r="B9" t="s">
        <v>2097</v>
      </c>
      <c r="F9" s="5">
        <v>-1621507</v>
      </c>
      <c r="G9" s="5"/>
      <c r="H9" s="5">
        <v>-1133509</v>
      </c>
      <c r="O9" s="153"/>
    </row>
    <row r="10" spans="1:15" ht="15.75" thickBot="1">
      <c r="F10" s="180">
        <f>F9+F7</f>
        <v>52931</v>
      </c>
      <c r="H10" s="180">
        <f>H9+H7</f>
        <v>52931</v>
      </c>
      <c r="O10" s="153"/>
    </row>
    <row r="11" spans="1:15" ht="15.75" thickTop="1">
      <c r="D11" s="234"/>
      <c r="F11" s="293">
        <f>F10-ББ!D48</f>
        <v>0</v>
      </c>
      <c r="G11" s="477"/>
      <c r="H11" s="293">
        <f>H10-ББ!F48</f>
        <v>0</v>
      </c>
      <c r="O11" s="153"/>
    </row>
    <row r="12" spans="1:15">
      <c r="F12" s="293">
        <f>F9+ББ!D58</f>
        <v>0</v>
      </c>
      <c r="G12" s="477"/>
      <c r="H12" s="293">
        <f>H9+ББ!F58</f>
        <v>0</v>
      </c>
    </row>
    <row r="13" spans="1:15">
      <c r="G13" s="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zoomScale="80" zoomScaleNormal="80" workbookViewId="0">
      <selection activeCell="A3" sqref="A3"/>
    </sheetView>
  </sheetViews>
  <sheetFormatPr defaultRowHeight="15"/>
  <cols>
    <col min="4" max="4" width="18.85546875" customWidth="1"/>
    <col min="5" max="5" width="8.85546875" customWidth="1"/>
    <col min="6" max="6" width="19.85546875" customWidth="1"/>
    <col min="8" max="8" width="19.5703125" customWidth="1"/>
    <col min="13" max="13" width="19.140625" customWidth="1"/>
    <col min="15" max="15" width="13.140625" bestFit="1" customWidth="1"/>
  </cols>
  <sheetData>
    <row r="2" spans="1:15">
      <c r="A2" s="125">
        <v>24</v>
      </c>
      <c r="B2" s="124" t="s">
        <v>2098</v>
      </c>
      <c r="H2" s="153"/>
      <c r="I2" s="153"/>
      <c r="J2" s="153"/>
      <c r="K2" s="153"/>
      <c r="L2" s="153"/>
      <c r="M2" s="153"/>
      <c r="N2" s="153"/>
    </row>
    <row r="3" spans="1:15">
      <c r="H3" s="153"/>
      <c r="I3" s="153"/>
      <c r="J3" s="153"/>
      <c r="K3" s="153"/>
      <c r="L3" s="153"/>
      <c r="M3" s="153"/>
      <c r="N3" s="153"/>
    </row>
    <row r="4" spans="1:15" s="124" customFormat="1">
      <c r="D4" s="290" t="s">
        <v>3227</v>
      </c>
      <c r="F4" s="290" t="s">
        <v>3228</v>
      </c>
      <c r="H4" s="665"/>
      <c r="I4" s="665"/>
      <c r="J4" s="665"/>
      <c r="K4" s="665"/>
      <c r="L4" s="665"/>
      <c r="M4" s="665"/>
      <c r="N4" s="665"/>
    </row>
    <row r="5" spans="1:15" s="124" customFormat="1">
      <c r="A5" t="s">
        <v>2552</v>
      </c>
      <c r="C5"/>
      <c r="D5" s="5">
        <v>43643680</v>
      </c>
      <c r="E5"/>
      <c r="F5" s="126">
        <v>28717854</v>
      </c>
      <c r="H5" s="562"/>
      <c r="I5" s="628"/>
      <c r="J5" s="632"/>
      <c r="K5" s="191"/>
      <c r="L5" s="587"/>
      <c r="M5" s="587"/>
      <c r="N5" s="191"/>
      <c r="O5" s="191"/>
    </row>
    <row r="6" spans="1:15" s="153" customFormat="1">
      <c r="A6" s="153" t="s">
        <v>2099</v>
      </c>
      <c r="D6" s="5">
        <v>37083483</v>
      </c>
      <c r="F6" s="126">
        <v>24753471</v>
      </c>
      <c r="H6" s="632"/>
      <c r="I6" s="628"/>
      <c r="J6" s="632"/>
      <c r="K6" s="191"/>
      <c r="L6" s="587"/>
      <c r="M6" s="587"/>
      <c r="N6" s="442"/>
      <c r="O6" s="442"/>
    </row>
    <row r="7" spans="1:15">
      <c r="A7" t="s">
        <v>2100</v>
      </c>
      <c r="D7" s="5">
        <v>64111</v>
      </c>
      <c r="F7" s="126">
        <v>77551</v>
      </c>
      <c r="H7" s="632"/>
      <c r="I7" s="628"/>
      <c r="J7" s="632"/>
      <c r="K7" s="191"/>
      <c r="L7" s="587"/>
      <c r="M7" s="587"/>
      <c r="N7" s="442"/>
      <c r="O7" s="442"/>
    </row>
    <row r="8" spans="1:15">
      <c r="A8" t="s">
        <v>2086</v>
      </c>
      <c r="D8" s="5">
        <v>61102</v>
      </c>
      <c r="F8" s="126">
        <v>56584</v>
      </c>
      <c r="H8" s="632"/>
      <c r="I8" s="628"/>
      <c r="J8" s="632"/>
      <c r="K8" s="191"/>
      <c r="L8" s="587"/>
      <c r="M8" s="587"/>
      <c r="N8" s="442"/>
      <c r="O8" s="442"/>
    </row>
    <row r="9" spans="1:15" ht="15.75" thickBot="1">
      <c r="D9" s="180">
        <f>SUM(D5:D8)</f>
        <v>80852376</v>
      </c>
      <c r="F9" s="811">
        <f>SUM(F5:F8)</f>
        <v>53605460</v>
      </c>
      <c r="H9" s="798"/>
      <c r="I9" s="628"/>
      <c r="J9" s="632"/>
      <c r="K9" s="191"/>
      <c r="L9" s="587"/>
      <c r="M9" s="191"/>
      <c r="N9" s="153"/>
      <c r="O9" s="191"/>
    </row>
    <row r="10" spans="1:15" ht="15.75" thickTop="1">
      <c r="A10" s="234"/>
      <c r="D10" s="651">
        <f>D9-ОПИУ!C8</f>
        <v>0</v>
      </c>
      <c r="F10" s="812">
        <f>F9-ОПИУ!E8</f>
        <v>0</v>
      </c>
      <c r="H10" s="153"/>
      <c r="I10" s="153"/>
      <c r="J10" s="153"/>
      <c r="K10" s="153"/>
      <c r="L10" s="153"/>
      <c r="M10" s="153"/>
      <c r="N10" s="153"/>
      <c r="O10" s="153"/>
    </row>
    <row r="11" spans="1:15">
      <c r="H11" s="153"/>
      <c r="I11" s="153"/>
      <c r="J11" s="153"/>
      <c r="K11" s="153"/>
      <c r="L11" s="153"/>
      <c r="M11" s="153"/>
      <c r="N11" s="153"/>
      <c r="O11" s="153"/>
    </row>
    <row r="12" spans="1:15">
      <c r="J12" s="153"/>
      <c r="K12" s="153"/>
      <c r="L12" s="153"/>
      <c r="M12" s="153"/>
      <c r="N12" s="153"/>
      <c r="O12" s="153"/>
    </row>
    <row r="13" spans="1:15">
      <c r="J13" s="153"/>
      <c r="K13" s="153"/>
      <c r="L13" s="153"/>
      <c r="M13" s="153"/>
      <c r="N13" s="153"/>
      <c r="O13" s="153"/>
    </row>
    <row r="14" spans="1:15">
      <c r="J14" s="153"/>
      <c r="K14" s="153"/>
      <c r="L14" s="153"/>
      <c r="M14" s="153"/>
      <c r="N14" s="153"/>
      <c r="O14" s="15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6"/>
  <sheetViews>
    <sheetView zoomScale="80" zoomScaleNormal="80" workbookViewId="0">
      <selection activeCell="W3" sqref="W3:AC19"/>
    </sheetView>
  </sheetViews>
  <sheetFormatPr defaultRowHeight="15"/>
  <cols>
    <col min="5" max="5" width="14.140625" customWidth="1"/>
    <col min="7" max="7" width="14.5703125" customWidth="1"/>
    <col min="8" max="8" width="12.85546875" bestFit="1" customWidth="1"/>
    <col min="9" max="9" width="28.28515625" hidden="1" customWidth="1"/>
    <col min="10" max="10" width="15.140625" hidden="1" customWidth="1"/>
    <col min="11" max="11" width="14.140625" hidden="1" customWidth="1"/>
    <col min="12" max="12" width="13" hidden="1" customWidth="1"/>
    <col min="13" max="13" width="15.140625" hidden="1" customWidth="1"/>
    <col min="14" max="14" width="12.85546875" hidden="1" customWidth="1"/>
    <col min="15" max="16" width="0" hidden="1" customWidth="1"/>
    <col min="17" max="17" width="15.85546875" hidden="1" customWidth="1"/>
    <col min="18" max="21" width="0" hidden="1" customWidth="1"/>
    <col min="27" max="27" width="14.28515625" customWidth="1"/>
  </cols>
  <sheetData>
    <row r="2" spans="1:21">
      <c r="A2" s="125">
        <v>25</v>
      </c>
      <c r="B2" s="124" t="s">
        <v>2115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>
      <c r="E4" s="290" t="s">
        <v>3227</v>
      </c>
      <c r="F4" s="124"/>
      <c r="G4" s="290" t="s">
        <v>3228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>
      <c r="B5" t="s">
        <v>589</v>
      </c>
      <c r="E5" s="581">
        <v>11405358</v>
      </c>
      <c r="G5" s="442">
        <v>7556368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1">
      <c r="B6" t="s">
        <v>2116</v>
      </c>
      <c r="E6" s="581">
        <v>9678577</v>
      </c>
      <c r="G6" s="442">
        <v>8851439</v>
      </c>
      <c r="H6" s="81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:21">
      <c r="B7" t="s">
        <v>2122</v>
      </c>
      <c r="E7" s="581">
        <v>7015460</v>
      </c>
      <c r="G7" s="442">
        <v>5716982</v>
      </c>
      <c r="H7" s="39"/>
      <c r="I7" s="442"/>
      <c r="J7" s="648"/>
      <c r="K7" s="706"/>
      <c r="L7" s="153"/>
      <c r="M7" s="670"/>
      <c r="N7" s="708"/>
      <c r="O7" s="153"/>
      <c r="P7" s="153"/>
      <c r="Q7" s="153"/>
      <c r="R7" s="153"/>
      <c r="S7" s="153"/>
      <c r="T7" s="153"/>
      <c r="U7" s="153"/>
    </row>
    <row r="8" spans="1:21">
      <c r="B8" t="s">
        <v>2117</v>
      </c>
      <c r="E8" s="581">
        <v>5533532</v>
      </c>
      <c r="G8" s="442">
        <v>4559242</v>
      </c>
      <c r="H8" s="39"/>
      <c r="I8" s="44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>
      <c r="B9" t="s">
        <v>2119</v>
      </c>
      <c r="E9" s="581">
        <v>3998569</v>
      </c>
      <c r="G9" s="442">
        <v>2281446</v>
      </c>
      <c r="H9" s="813"/>
      <c r="I9" s="442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</row>
    <row r="10" spans="1:21">
      <c r="B10" t="s">
        <v>2118</v>
      </c>
      <c r="E10" s="581">
        <v>2908777</v>
      </c>
      <c r="G10" s="442">
        <v>2776977</v>
      </c>
      <c r="H10" s="39"/>
      <c r="I10" s="442"/>
      <c r="J10" s="648"/>
      <c r="K10" s="706"/>
      <c r="L10" s="153"/>
      <c r="M10" s="709"/>
      <c r="N10" s="710"/>
      <c r="O10" s="153"/>
      <c r="P10" s="153"/>
      <c r="Q10" s="153"/>
      <c r="R10" s="153"/>
      <c r="S10" s="153"/>
      <c r="T10" s="153"/>
      <c r="U10" s="153"/>
    </row>
    <row r="11" spans="1:21">
      <c r="B11" t="s">
        <v>2121</v>
      </c>
      <c r="E11" s="581">
        <v>1867157</v>
      </c>
      <c r="G11" s="442">
        <v>734540</v>
      </c>
      <c r="H11" s="39"/>
      <c r="I11" s="442"/>
      <c r="J11" s="648"/>
      <c r="K11" s="706"/>
      <c r="L11" s="153"/>
      <c r="M11" s="709"/>
      <c r="N11" s="710"/>
      <c r="O11" s="153"/>
      <c r="P11" s="153"/>
      <c r="Q11" s="153"/>
      <c r="R11" s="153"/>
      <c r="S11" s="153"/>
      <c r="T11" s="153"/>
      <c r="U11" s="153"/>
    </row>
    <row r="12" spans="1:21">
      <c r="B12" t="s">
        <v>2120</v>
      </c>
      <c r="E12" s="581">
        <v>1503679</v>
      </c>
      <c r="G12" s="442">
        <v>1610115</v>
      </c>
      <c r="H12" s="39"/>
      <c r="I12" s="442"/>
      <c r="J12" s="648"/>
      <c r="K12" s="706"/>
      <c r="L12" s="153"/>
      <c r="M12" s="709"/>
      <c r="N12" s="710"/>
      <c r="O12" s="153"/>
      <c r="P12" s="153"/>
      <c r="Q12" s="153"/>
      <c r="R12" s="153"/>
      <c r="S12" s="153"/>
      <c r="T12" s="153"/>
      <c r="U12" s="153"/>
    </row>
    <row r="13" spans="1:21">
      <c r="B13" t="s">
        <v>2070</v>
      </c>
      <c r="E13" s="581">
        <v>337893</v>
      </c>
      <c r="G13" s="442">
        <v>376696</v>
      </c>
      <c r="H13" s="39"/>
      <c r="I13" s="442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</row>
    <row r="14" spans="1:21">
      <c r="B14" t="s">
        <v>2086</v>
      </c>
      <c r="E14" s="581">
        <v>814629</v>
      </c>
      <c r="G14" s="442">
        <v>624236</v>
      </c>
      <c r="H14" s="39"/>
      <c r="I14" s="442"/>
      <c r="J14" s="713"/>
      <c r="K14" s="714"/>
      <c r="L14" s="153"/>
      <c r="M14" s="704"/>
      <c r="N14" s="705"/>
      <c r="O14" s="153"/>
      <c r="P14" s="153"/>
      <c r="Q14" s="153"/>
      <c r="R14" s="153"/>
      <c r="S14" s="153"/>
      <c r="T14" s="153"/>
      <c r="U14" s="153"/>
    </row>
    <row r="15" spans="1:21" ht="15.75" thickBot="1">
      <c r="B15" s="124" t="s">
        <v>2124</v>
      </c>
      <c r="E15" s="180">
        <f>SUM(E5:E14)</f>
        <v>45063631</v>
      </c>
      <c r="G15" s="180">
        <f>SUM(G5:G14)</f>
        <v>35088041</v>
      </c>
      <c r="H15" s="191"/>
      <c r="I15" s="191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</row>
    <row r="16" spans="1:21" ht="15.75" thickTop="1">
      <c r="G16" s="5"/>
      <c r="I16" s="153"/>
      <c r="J16" s="711"/>
      <c r="K16" s="712"/>
      <c r="L16" s="153"/>
      <c r="M16" s="648"/>
      <c r="N16" s="706"/>
      <c r="O16" s="588"/>
      <c r="P16" s="588"/>
      <c r="Q16" s="587"/>
      <c r="R16" s="588"/>
      <c r="S16" s="588"/>
      <c r="T16" s="588"/>
      <c r="U16" s="656"/>
    </row>
    <row r="17" spans="2:21">
      <c r="B17" t="s">
        <v>2123</v>
      </c>
      <c r="E17" s="5">
        <v>-5712505</v>
      </c>
      <c r="G17" s="5">
        <v>-2485208</v>
      </c>
      <c r="H17" s="5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</row>
    <row r="18" spans="2:21">
      <c r="B18" t="s">
        <v>2125</v>
      </c>
      <c r="E18" s="269">
        <f>E17+E15</f>
        <v>39351126</v>
      </c>
      <c r="G18" s="269">
        <f>G17+G15</f>
        <v>32602833</v>
      </c>
      <c r="H18" s="269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</row>
    <row r="19" spans="2:21">
      <c r="D19" s="234"/>
      <c r="E19" s="651">
        <f>E18+ОПИУ!C9</f>
        <v>0</v>
      </c>
      <c r="G19" s="293">
        <f>G18+ОПИУ!E9</f>
        <v>0</v>
      </c>
      <c r="I19" s="442"/>
      <c r="J19" s="648"/>
      <c r="K19" s="706"/>
      <c r="L19" s="153"/>
      <c r="M19" s="670"/>
      <c r="N19" s="707"/>
      <c r="O19" s="153"/>
      <c r="P19" s="153"/>
      <c r="Q19" s="153"/>
      <c r="R19" s="153"/>
      <c r="S19" s="153"/>
      <c r="T19" s="153"/>
      <c r="U19" s="153"/>
    </row>
    <row r="20" spans="2:21">
      <c r="D20" s="234"/>
      <c r="E20" s="126"/>
      <c r="G20" s="29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2:21">
      <c r="D21" s="234"/>
      <c r="E21" s="126"/>
      <c r="G21" s="293"/>
    </row>
    <row r="22" spans="2:21">
      <c r="D22" s="234"/>
      <c r="E22" s="126"/>
      <c r="G22" s="293"/>
    </row>
    <row r="23" spans="2:21">
      <c r="D23" s="234"/>
      <c r="E23" s="126"/>
      <c r="G23" s="293"/>
    </row>
    <row r="24" spans="2:21">
      <c r="D24" s="234"/>
      <c r="E24" s="126"/>
      <c r="G24" s="293"/>
    </row>
    <row r="25" spans="2:21">
      <c r="D25" s="234"/>
      <c r="E25" s="126"/>
      <c r="G25" s="293"/>
    </row>
    <row r="26" spans="2:21">
      <c r="D26" s="234"/>
      <c r="E26" s="126"/>
      <c r="G26" s="293"/>
    </row>
    <row r="29" spans="2:21">
      <c r="I29" s="5"/>
    </row>
    <row r="30" spans="2:21">
      <c r="I30" s="5"/>
    </row>
    <row r="31" spans="2:21">
      <c r="I31" s="5"/>
    </row>
    <row r="32" spans="2:21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84"/>
  <sheetViews>
    <sheetView topLeftCell="A237" zoomScale="80" zoomScaleNormal="80" workbookViewId="0">
      <selection activeCell="I250" sqref="I250:I252"/>
    </sheetView>
  </sheetViews>
  <sheetFormatPr defaultRowHeight="15"/>
  <cols>
    <col min="1" max="1" width="20.42578125" customWidth="1"/>
    <col min="2" max="3" width="12.42578125" bestFit="1" customWidth="1"/>
    <col min="4" max="5" width="13.85546875" bestFit="1" customWidth="1"/>
    <col min="6" max="6" width="12.85546875" bestFit="1" customWidth="1"/>
    <col min="7" max="7" width="15.140625" customWidth="1"/>
    <col min="8" max="8" width="16.28515625" style="26" customWidth="1"/>
    <col min="9" max="9" width="13.140625" customWidth="1"/>
    <col min="10" max="10" width="49.85546875" customWidth="1"/>
    <col min="11" max="11" width="16.85546875" customWidth="1"/>
    <col min="14" max="14" width="14.140625" bestFit="1" customWidth="1"/>
  </cols>
  <sheetData>
    <row r="1" spans="1:14">
      <c r="A1" s="9" t="s">
        <v>44</v>
      </c>
      <c r="B1" s="10"/>
      <c r="C1" s="10"/>
      <c r="D1" s="10"/>
      <c r="E1" s="10"/>
      <c r="F1" s="10"/>
      <c r="G1" s="10"/>
      <c r="H1" s="23"/>
    </row>
    <row r="2" spans="1:14" ht="15.75">
      <c r="A2" s="11" t="s">
        <v>45</v>
      </c>
      <c r="B2" s="10"/>
      <c r="C2" s="10"/>
      <c r="D2" s="10"/>
      <c r="E2" s="10"/>
      <c r="F2" s="10"/>
      <c r="G2" s="10"/>
      <c r="H2" s="364"/>
    </row>
    <row r="3" spans="1:14">
      <c r="A3" s="10" t="s">
        <v>46</v>
      </c>
      <c r="B3" s="10" t="s">
        <v>47</v>
      </c>
      <c r="C3" s="10"/>
      <c r="D3" s="10"/>
      <c r="E3" s="10"/>
      <c r="F3" s="10"/>
      <c r="G3" s="10"/>
      <c r="H3" s="23"/>
    </row>
    <row r="4" spans="1:14">
      <c r="A4" s="10" t="s">
        <v>48</v>
      </c>
      <c r="B4" s="10" t="s">
        <v>49</v>
      </c>
      <c r="C4" s="10"/>
      <c r="D4" s="10"/>
      <c r="E4" s="10"/>
      <c r="F4" s="10"/>
      <c r="G4" s="10"/>
      <c r="H4" s="23"/>
    </row>
    <row r="5" spans="1:14">
      <c r="A5" s="941" t="s">
        <v>50</v>
      </c>
      <c r="B5" s="943" t="s">
        <v>51</v>
      </c>
      <c r="C5" s="943"/>
      <c r="D5" s="943" t="s">
        <v>52</v>
      </c>
      <c r="E5" s="943"/>
      <c r="F5" s="943" t="s">
        <v>53</v>
      </c>
      <c r="G5" s="943"/>
      <c r="H5" s="24"/>
      <c r="J5" s="5"/>
    </row>
    <row r="6" spans="1:14">
      <c r="A6" s="942"/>
      <c r="B6" s="12" t="s">
        <v>54</v>
      </c>
      <c r="C6" s="12" t="s">
        <v>55</v>
      </c>
      <c r="D6" s="12" t="s">
        <v>54</v>
      </c>
      <c r="E6" s="12" t="s">
        <v>55</v>
      </c>
      <c r="F6" s="12" t="s">
        <v>54</v>
      </c>
      <c r="G6" s="12" t="s">
        <v>55</v>
      </c>
      <c r="K6" s="4"/>
    </row>
    <row r="7" spans="1:14">
      <c r="A7" s="13" t="s">
        <v>56</v>
      </c>
      <c r="B7" s="16">
        <v>3.6830000000000002E-2</v>
      </c>
      <c r="C7" s="16">
        <v>0</v>
      </c>
      <c r="D7" s="16">
        <v>84190.71362000001</v>
      </c>
      <c r="E7" s="16">
        <v>84190.71362000001</v>
      </c>
      <c r="F7" s="16">
        <v>3.6830000000000002E-2</v>
      </c>
      <c r="G7" s="16">
        <v>0</v>
      </c>
      <c r="H7" s="25">
        <f>B7-C7</f>
        <v>3.6830000000000002E-2</v>
      </c>
      <c r="I7" s="5">
        <f>F7-G7</f>
        <v>3.6830000000000002E-2</v>
      </c>
      <c r="J7" s="5">
        <v>0</v>
      </c>
      <c r="K7" t="s">
        <v>13</v>
      </c>
      <c r="L7" t="s">
        <v>56</v>
      </c>
      <c r="M7">
        <v>0</v>
      </c>
      <c r="N7" s="5"/>
    </row>
    <row r="8" spans="1:14">
      <c r="A8" s="14" t="s">
        <v>58</v>
      </c>
      <c r="B8" s="17">
        <v>5095.49611</v>
      </c>
      <c r="C8" s="17">
        <v>0</v>
      </c>
      <c r="D8" s="17">
        <v>59963.647320000004</v>
      </c>
      <c r="E8" s="17">
        <v>61201.001830000001</v>
      </c>
      <c r="F8" s="17">
        <v>3858.1415999999999</v>
      </c>
      <c r="G8" s="17">
        <v>0</v>
      </c>
      <c r="H8" s="25">
        <f t="shared" ref="H8:H70" si="0">B8-C8</f>
        <v>5095.49611</v>
      </c>
      <c r="I8" s="5">
        <f t="shared" ref="I8:I70" si="1">F8-G8</f>
        <v>3858.1415999999999</v>
      </c>
      <c r="J8" s="5" t="s">
        <v>24</v>
      </c>
      <c r="K8" t="s">
        <v>13</v>
      </c>
      <c r="L8" t="s">
        <v>57</v>
      </c>
      <c r="M8">
        <v>0</v>
      </c>
      <c r="N8" s="5"/>
    </row>
    <row r="9" spans="1:14">
      <c r="A9" s="14" t="s">
        <v>60</v>
      </c>
      <c r="B9" s="17">
        <v>0</v>
      </c>
      <c r="C9" s="17">
        <v>0</v>
      </c>
      <c r="D9" s="17">
        <v>10000</v>
      </c>
      <c r="E9" s="17">
        <v>10000</v>
      </c>
      <c r="F9" s="17">
        <v>0</v>
      </c>
      <c r="G9" s="17">
        <v>0</v>
      </c>
      <c r="H9" s="25">
        <f t="shared" si="0"/>
        <v>0</v>
      </c>
      <c r="I9" s="5">
        <f t="shared" si="1"/>
        <v>0</v>
      </c>
      <c r="J9" s="5" t="s">
        <v>24</v>
      </c>
      <c r="K9" t="s">
        <v>13</v>
      </c>
      <c r="L9" t="s">
        <v>59</v>
      </c>
      <c r="M9" t="s">
        <v>370</v>
      </c>
    </row>
    <row r="10" spans="1:14">
      <c r="A10" s="14" t="s">
        <v>61</v>
      </c>
      <c r="B10" s="17">
        <v>0</v>
      </c>
      <c r="C10" s="17">
        <v>0</v>
      </c>
      <c r="D10" s="17">
        <v>35861691.275229998</v>
      </c>
      <c r="E10" s="17">
        <v>35861691.275229998</v>
      </c>
      <c r="F10" s="17">
        <v>0</v>
      </c>
      <c r="G10" s="17">
        <v>0</v>
      </c>
      <c r="H10" s="25">
        <f t="shared" si="0"/>
        <v>0</v>
      </c>
      <c r="I10" s="5">
        <f t="shared" si="1"/>
        <v>0</v>
      </c>
      <c r="J10" s="5" t="s">
        <v>24</v>
      </c>
      <c r="K10" t="s">
        <v>13</v>
      </c>
      <c r="L10" t="s">
        <v>60</v>
      </c>
      <c r="M10">
        <v>0</v>
      </c>
    </row>
    <row r="11" spans="1:14">
      <c r="A11" s="14" t="s">
        <v>62</v>
      </c>
      <c r="B11" s="17">
        <v>483099.48307999998</v>
      </c>
      <c r="C11" s="17">
        <v>0</v>
      </c>
      <c r="D11" s="17">
        <v>180149065.51964</v>
      </c>
      <c r="E11" s="17">
        <v>179578123.55056</v>
      </c>
      <c r="F11" s="17">
        <v>1054041.4521599999</v>
      </c>
      <c r="G11" s="17">
        <v>0</v>
      </c>
      <c r="H11" s="25">
        <f t="shared" si="0"/>
        <v>483099.48307999998</v>
      </c>
      <c r="I11" s="5">
        <f t="shared" si="1"/>
        <v>1054041.4521599999</v>
      </c>
      <c r="J11" s="5" t="s">
        <v>24</v>
      </c>
      <c r="K11" t="s">
        <v>13</v>
      </c>
      <c r="L11" t="s">
        <v>61</v>
      </c>
      <c r="M11">
        <v>0</v>
      </c>
    </row>
    <row r="12" spans="1:14">
      <c r="A12" s="14" t="s">
        <v>63</v>
      </c>
      <c r="B12" s="17">
        <v>3711.2124800000001</v>
      </c>
      <c r="C12" s="17">
        <v>0</v>
      </c>
      <c r="D12" s="17">
        <v>66814.366999999998</v>
      </c>
      <c r="E12" s="17">
        <v>70150.096930000014</v>
      </c>
      <c r="F12" s="17">
        <v>375.48255</v>
      </c>
      <c r="G12" s="17">
        <v>0</v>
      </c>
      <c r="H12" s="25">
        <f t="shared" si="0"/>
        <v>3711.2124800000001</v>
      </c>
      <c r="I12" s="5">
        <f t="shared" si="1"/>
        <v>375.48255</v>
      </c>
      <c r="J12" s="5" t="s">
        <v>24</v>
      </c>
      <c r="K12" t="s">
        <v>13</v>
      </c>
      <c r="L12" t="s">
        <v>62</v>
      </c>
      <c r="M12" t="s">
        <v>370</v>
      </c>
    </row>
    <row r="13" spans="1:14">
      <c r="A13" s="14" t="s">
        <v>64</v>
      </c>
      <c r="B13" s="17">
        <v>8971.8729999999996</v>
      </c>
      <c r="C13" s="17">
        <v>0</v>
      </c>
      <c r="D13" s="17">
        <v>173137</v>
      </c>
      <c r="E13" s="17">
        <v>0</v>
      </c>
      <c r="F13" s="17">
        <v>182108.87299999999</v>
      </c>
      <c r="G13" s="17">
        <v>0</v>
      </c>
      <c r="H13" s="25">
        <f t="shared" si="0"/>
        <v>8971.8729999999996</v>
      </c>
      <c r="I13" s="5">
        <f t="shared" si="1"/>
        <v>182108.87299999999</v>
      </c>
      <c r="J13" s="5" t="s">
        <v>389</v>
      </c>
      <c r="K13" t="s">
        <v>13</v>
      </c>
      <c r="L13" t="s">
        <v>63</v>
      </c>
      <c r="M13" t="s">
        <v>370</v>
      </c>
    </row>
    <row r="14" spans="1:14">
      <c r="A14" s="14" t="s">
        <v>66</v>
      </c>
      <c r="B14" s="17">
        <v>31652051.43953</v>
      </c>
      <c r="C14" s="17">
        <v>0</v>
      </c>
      <c r="D14" s="17">
        <v>10312151.27943</v>
      </c>
      <c r="E14" s="17">
        <v>23559281.733040001</v>
      </c>
      <c r="F14" s="17">
        <v>18404920.985919997</v>
      </c>
      <c r="G14" s="17">
        <v>0</v>
      </c>
      <c r="H14" s="25">
        <f t="shared" si="0"/>
        <v>31652051.43953</v>
      </c>
      <c r="I14" s="5">
        <f t="shared" si="1"/>
        <v>18404920.985919997</v>
      </c>
      <c r="J14" t="s">
        <v>22</v>
      </c>
      <c r="K14" t="s">
        <v>13</v>
      </c>
      <c r="L14" t="s">
        <v>64</v>
      </c>
      <c r="M14" t="s">
        <v>6</v>
      </c>
    </row>
    <row r="15" spans="1:14">
      <c r="A15" s="14" t="s">
        <v>68</v>
      </c>
      <c r="B15" s="17">
        <v>1481974.8618399999</v>
      </c>
      <c r="C15" s="17">
        <v>0</v>
      </c>
      <c r="D15" s="17">
        <v>46181538.545449995</v>
      </c>
      <c r="E15" s="17">
        <v>46167579.834250003</v>
      </c>
      <c r="F15" s="17">
        <v>1495933.5730399999</v>
      </c>
      <c r="G15" s="17">
        <v>0</v>
      </c>
      <c r="H15" s="25">
        <f t="shared" si="0"/>
        <v>1481974.8618399999</v>
      </c>
      <c r="I15" s="5">
        <f t="shared" si="1"/>
        <v>1495933.5730399999</v>
      </c>
      <c r="J15" t="s">
        <v>19</v>
      </c>
      <c r="K15" t="s">
        <v>13</v>
      </c>
      <c r="L15" t="s">
        <v>65</v>
      </c>
      <c r="M15">
        <v>0</v>
      </c>
    </row>
    <row r="16" spans="1:14">
      <c r="A16" s="14" t="s">
        <v>69</v>
      </c>
      <c r="B16" s="17">
        <v>8214243.5043500001</v>
      </c>
      <c r="C16" s="17">
        <v>0</v>
      </c>
      <c r="D16" s="17">
        <v>1854277.3611600001</v>
      </c>
      <c r="E16" s="17">
        <v>9467017.2963599991</v>
      </c>
      <c r="F16" s="17">
        <v>601503.56915</v>
      </c>
      <c r="G16" s="17">
        <v>0</v>
      </c>
      <c r="H16" s="25">
        <f t="shared" si="0"/>
        <v>8214243.5043500001</v>
      </c>
      <c r="I16" s="5">
        <f t="shared" si="1"/>
        <v>601503.56915</v>
      </c>
      <c r="J16" t="s">
        <v>19</v>
      </c>
      <c r="K16" t="s">
        <v>13</v>
      </c>
      <c r="L16" t="s">
        <v>66</v>
      </c>
      <c r="M16" t="s">
        <v>371</v>
      </c>
    </row>
    <row r="17" spans="1:13">
      <c r="A17" s="14" t="s">
        <v>70</v>
      </c>
      <c r="B17" s="17">
        <v>231393.76924000002</v>
      </c>
      <c r="C17" s="17">
        <v>0</v>
      </c>
      <c r="D17" s="17">
        <v>0</v>
      </c>
      <c r="E17" s="17">
        <v>0</v>
      </c>
      <c r="F17" s="17">
        <v>231393.76924000002</v>
      </c>
      <c r="G17" s="17">
        <v>0</v>
      </c>
      <c r="H17" s="25">
        <f t="shared" si="0"/>
        <v>231393.76924000002</v>
      </c>
      <c r="I17" s="5">
        <f t="shared" si="1"/>
        <v>231393.76924000002</v>
      </c>
      <c r="J17" t="s">
        <v>19</v>
      </c>
      <c r="K17" t="s">
        <v>13</v>
      </c>
      <c r="L17" t="s">
        <v>67</v>
      </c>
      <c r="M17">
        <v>0</v>
      </c>
    </row>
    <row r="18" spans="1:13">
      <c r="A18" s="14" t="s">
        <v>72</v>
      </c>
      <c r="B18" s="17">
        <v>2545.4593799999998</v>
      </c>
      <c r="C18" s="17">
        <v>0</v>
      </c>
      <c r="D18" s="17">
        <v>200623.85002000001</v>
      </c>
      <c r="E18" s="17">
        <v>201779.75116999997</v>
      </c>
      <c r="F18" s="17">
        <v>1389.5582300000001</v>
      </c>
      <c r="G18" s="17">
        <v>0</v>
      </c>
      <c r="H18" s="25">
        <f t="shared" si="0"/>
        <v>2545.4593799999998</v>
      </c>
      <c r="I18" s="5">
        <f t="shared" si="1"/>
        <v>1389.5582300000001</v>
      </c>
      <c r="J18" t="s">
        <v>19</v>
      </c>
      <c r="K18" t="s">
        <v>13</v>
      </c>
      <c r="L18" t="s">
        <v>68</v>
      </c>
      <c r="M18" t="s">
        <v>372</v>
      </c>
    </row>
    <row r="19" spans="1:13">
      <c r="A19" s="14" t="s">
        <v>73</v>
      </c>
      <c r="B19" s="17">
        <v>5541.7667099999999</v>
      </c>
      <c r="C19" s="17">
        <v>0</v>
      </c>
      <c r="D19" s="17">
        <v>21088.500010000003</v>
      </c>
      <c r="E19" s="17">
        <v>21183.338329999999</v>
      </c>
      <c r="F19" s="17">
        <v>5446.92839</v>
      </c>
      <c r="G19" s="17">
        <v>0</v>
      </c>
      <c r="H19" s="25">
        <f t="shared" si="0"/>
        <v>5541.7667099999999</v>
      </c>
      <c r="I19" s="5">
        <f t="shared" si="1"/>
        <v>5446.92839</v>
      </c>
      <c r="J19" t="s">
        <v>19</v>
      </c>
      <c r="K19" t="s">
        <v>13</v>
      </c>
      <c r="L19" t="s">
        <v>69</v>
      </c>
      <c r="M19" t="s">
        <v>372</v>
      </c>
    </row>
    <row r="20" spans="1:13">
      <c r="A20" s="14" t="s">
        <v>74</v>
      </c>
      <c r="B20" s="17">
        <v>8877.4227899999987</v>
      </c>
      <c r="C20" s="17">
        <v>0</v>
      </c>
      <c r="D20" s="17">
        <v>10356.551150000001</v>
      </c>
      <c r="E20" s="17">
        <v>3382.5129400000001</v>
      </c>
      <c r="F20" s="17">
        <v>15851.460999999999</v>
      </c>
      <c r="G20" s="17">
        <v>0</v>
      </c>
      <c r="H20" s="25">
        <f t="shared" si="0"/>
        <v>8877.4227899999987</v>
      </c>
      <c r="I20" s="5">
        <f t="shared" si="1"/>
        <v>15851.460999999999</v>
      </c>
      <c r="J20" t="s">
        <v>19</v>
      </c>
      <c r="K20" t="s">
        <v>13</v>
      </c>
      <c r="L20" t="s">
        <v>70</v>
      </c>
      <c r="M20" t="s">
        <v>372</v>
      </c>
    </row>
    <row r="21" spans="1:13">
      <c r="A21" s="14" t="s">
        <v>75</v>
      </c>
      <c r="B21" s="17">
        <v>25662.782859999999</v>
      </c>
      <c r="C21" s="17">
        <v>0</v>
      </c>
      <c r="D21" s="17">
        <v>30247.779289999999</v>
      </c>
      <c r="E21" s="17">
        <v>50641.10959</v>
      </c>
      <c r="F21" s="17">
        <v>5269.4525599999997</v>
      </c>
      <c r="G21" s="17">
        <v>0</v>
      </c>
      <c r="H21" s="25">
        <f t="shared" si="0"/>
        <v>25662.782859999999</v>
      </c>
      <c r="I21" s="5">
        <f t="shared" si="1"/>
        <v>5269.4525599999997</v>
      </c>
      <c r="J21" t="s">
        <v>19</v>
      </c>
      <c r="K21" t="s">
        <v>13</v>
      </c>
      <c r="L21" t="s">
        <v>71</v>
      </c>
      <c r="M21">
        <v>0</v>
      </c>
    </row>
    <row r="22" spans="1:13">
      <c r="A22" s="14" t="s">
        <v>77</v>
      </c>
      <c r="B22" s="17">
        <v>221275.25168000002</v>
      </c>
      <c r="C22" s="17">
        <v>0</v>
      </c>
      <c r="D22" s="17">
        <v>1714.34926</v>
      </c>
      <c r="E22" s="17">
        <v>30277.750190000002</v>
      </c>
      <c r="F22" s="17">
        <v>192711.85075000001</v>
      </c>
      <c r="G22" s="17">
        <v>0</v>
      </c>
      <c r="H22" s="25">
        <f t="shared" si="0"/>
        <v>221275.25168000002</v>
      </c>
      <c r="I22" s="5">
        <f t="shared" si="1"/>
        <v>192711.85075000001</v>
      </c>
      <c r="J22" t="s">
        <v>19</v>
      </c>
      <c r="K22" t="s">
        <v>13</v>
      </c>
      <c r="L22" t="s">
        <v>72</v>
      </c>
      <c r="M22" t="s">
        <v>372</v>
      </c>
    </row>
    <row r="23" spans="1:13">
      <c r="A23" s="14" t="s">
        <v>78</v>
      </c>
      <c r="B23" s="17">
        <v>90.244889999999998</v>
      </c>
      <c r="C23" s="17">
        <v>0</v>
      </c>
      <c r="D23" s="17">
        <v>8693.7080800000003</v>
      </c>
      <c r="E23" s="17">
        <v>4197.8602300000002</v>
      </c>
      <c r="F23" s="17">
        <v>4586.09274</v>
      </c>
      <c r="G23" s="17">
        <v>0</v>
      </c>
      <c r="H23" s="25">
        <f t="shared" si="0"/>
        <v>90.244889999999998</v>
      </c>
      <c r="I23" s="5">
        <f t="shared" si="1"/>
        <v>4586.09274</v>
      </c>
      <c r="J23" t="s">
        <v>19</v>
      </c>
      <c r="K23" t="s">
        <v>13</v>
      </c>
      <c r="L23" t="s">
        <v>73</v>
      </c>
      <c r="M23" t="s">
        <v>372</v>
      </c>
    </row>
    <row r="24" spans="1:13">
      <c r="A24" s="14" t="s">
        <v>79</v>
      </c>
      <c r="B24" s="17">
        <v>94130.415629999989</v>
      </c>
      <c r="C24" s="17">
        <v>0</v>
      </c>
      <c r="D24" s="17">
        <v>510381.96391000005</v>
      </c>
      <c r="E24" s="17">
        <v>501423.11882999999</v>
      </c>
      <c r="F24" s="17">
        <v>103089.26070999999</v>
      </c>
      <c r="G24" s="17">
        <v>0</v>
      </c>
      <c r="H24" s="25">
        <f t="shared" si="0"/>
        <v>94130.415629999989</v>
      </c>
      <c r="I24" s="5">
        <f t="shared" si="1"/>
        <v>103089.26070999999</v>
      </c>
      <c r="J24" t="s">
        <v>19</v>
      </c>
      <c r="K24" t="s">
        <v>13</v>
      </c>
      <c r="L24" t="s">
        <v>74</v>
      </c>
      <c r="M24" t="s">
        <v>372</v>
      </c>
    </row>
    <row r="25" spans="1:13">
      <c r="A25" s="14" t="s">
        <v>81</v>
      </c>
      <c r="B25" s="17">
        <v>0</v>
      </c>
      <c r="C25" s="17">
        <v>275979.76923999999</v>
      </c>
      <c r="D25" s="17">
        <v>0</v>
      </c>
      <c r="E25" s="17">
        <v>0</v>
      </c>
      <c r="F25" s="17">
        <v>0</v>
      </c>
      <c r="G25" s="17">
        <v>275979.76923999999</v>
      </c>
      <c r="H25" s="25">
        <f t="shared" si="0"/>
        <v>-275979.76923999999</v>
      </c>
      <c r="I25" s="5">
        <f t="shared" si="1"/>
        <v>-275979.76923999999</v>
      </c>
      <c r="J25" t="s">
        <v>19</v>
      </c>
      <c r="K25" t="s">
        <v>13</v>
      </c>
      <c r="L25" t="s">
        <v>75</v>
      </c>
      <c r="M25" t="s">
        <v>372</v>
      </c>
    </row>
    <row r="26" spans="1:13">
      <c r="A26" s="14" t="s">
        <v>82</v>
      </c>
      <c r="B26" s="17">
        <v>0</v>
      </c>
      <c r="C26" s="17">
        <v>277439.52088999999</v>
      </c>
      <c r="D26" s="17">
        <v>968.08798000000002</v>
      </c>
      <c r="E26" s="17">
        <v>23361.17985</v>
      </c>
      <c r="F26" s="17">
        <v>0</v>
      </c>
      <c r="G26" s="17">
        <v>299832.61275999999</v>
      </c>
      <c r="H26" s="25">
        <f t="shared" si="0"/>
        <v>-277439.52088999999</v>
      </c>
      <c r="I26" s="5">
        <f t="shared" si="1"/>
        <v>-299832.61275999999</v>
      </c>
      <c r="J26" t="s">
        <v>19</v>
      </c>
      <c r="K26" t="s">
        <v>13</v>
      </c>
      <c r="L26" t="s">
        <v>76</v>
      </c>
    </row>
    <row r="27" spans="1:13">
      <c r="A27" s="14" t="s">
        <v>83</v>
      </c>
      <c r="B27" s="17">
        <v>0</v>
      </c>
      <c r="C27" s="17">
        <v>254844.01041999998</v>
      </c>
      <c r="D27" s="17">
        <v>0</v>
      </c>
      <c r="E27" s="17">
        <v>44057.220729999994</v>
      </c>
      <c r="F27" s="17">
        <v>0</v>
      </c>
      <c r="G27" s="17">
        <v>298901.23114999995</v>
      </c>
      <c r="H27" s="25">
        <f t="shared" si="0"/>
        <v>-254844.01041999998</v>
      </c>
      <c r="I27" s="5">
        <f t="shared" si="1"/>
        <v>-298901.23114999995</v>
      </c>
      <c r="J27" t="s">
        <v>12</v>
      </c>
      <c r="K27" t="s">
        <v>13</v>
      </c>
      <c r="L27" t="s">
        <v>77</v>
      </c>
      <c r="M27" t="s">
        <v>372</v>
      </c>
    </row>
    <row r="28" spans="1:13">
      <c r="A28" s="14" t="s">
        <v>86</v>
      </c>
      <c r="B28" s="17">
        <v>2122780.2115000002</v>
      </c>
      <c r="C28" s="17">
        <v>0</v>
      </c>
      <c r="D28" s="17">
        <v>14214839.198490001</v>
      </c>
      <c r="E28" s="17">
        <v>13199530.414729999</v>
      </c>
      <c r="F28" s="17">
        <v>3138088.9952600002</v>
      </c>
      <c r="G28" s="17">
        <v>0</v>
      </c>
      <c r="H28" s="25">
        <f t="shared" si="0"/>
        <v>2122780.2115000002</v>
      </c>
      <c r="I28" s="5">
        <f t="shared" si="1"/>
        <v>3138088.9952600002</v>
      </c>
      <c r="J28" t="s">
        <v>16</v>
      </c>
      <c r="K28" t="s">
        <v>13</v>
      </c>
      <c r="L28" t="s">
        <v>78</v>
      </c>
      <c r="M28" t="s">
        <v>372</v>
      </c>
    </row>
    <row r="29" spans="1:13">
      <c r="A29" s="14" t="s">
        <v>87</v>
      </c>
      <c r="B29" s="17">
        <v>146379.02133000002</v>
      </c>
      <c r="C29" s="17">
        <v>0</v>
      </c>
      <c r="D29" s="17">
        <v>2690586.9444400002</v>
      </c>
      <c r="E29" s="17">
        <v>2706451.7910200004</v>
      </c>
      <c r="F29" s="17">
        <v>130514.17475000001</v>
      </c>
      <c r="G29" s="17">
        <v>0</v>
      </c>
      <c r="H29" s="25">
        <f t="shared" si="0"/>
        <v>146379.02133000002</v>
      </c>
      <c r="I29" s="5">
        <f t="shared" si="1"/>
        <v>130514.17475000001</v>
      </c>
      <c r="J29" t="s">
        <v>16</v>
      </c>
      <c r="K29" t="s">
        <v>13</v>
      </c>
      <c r="L29" t="s">
        <v>79</v>
      </c>
      <c r="M29" t="s">
        <v>372</v>
      </c>
    </row>
    <row r="30" spans="1:13">
      <c r="A30" s="14" t="s">
        <v>88</v>
      </c>
      <c r="B30" s="17">
        <v>9144.9280099999996</v>
      </c>
      <c r="C30" s="17">
        <v>0</v>
      </c>
      <c r="D30" s="17">
        <v>62948.583549999996</v>
      </c>
      <c r="E30" s="17">
        <v>59737.293090000006</v>
      </c>
      <c r="F30" s="17">
        <v>12356.21847</v>
      </c>
      <c r="G30" s="17">
        <v>0</v>
      </c>
      <c r="H30" s="25">
        <f t="shared" si="0"/>
        <v>9144.9280099999996</v>
      </c>
      <c r="I30" s="5">
        <f t="shared" si="1"/>
        <v>12356.21847</v>
      </c>
      <c r="J30" t="s">
        <v>16</v>
      </c>
      <c r="K30" t="s">
        <v>13</v>
      </c>
      <c r="L30" t="s">
        <v>80</v>
      </c>
    </row>
    <row r="31" spans="1:13">
      <c r="A31" s="14" t="s">
        <v>90</v>
      </c>
      <c r="B31" s="17">
        <v>59.821429999999999</v>
      </c>
      <c r="C31" s="17">
        <v>0</v>
      </c>
      <c r="D31" s="17">
        <v>12149.464300000001</v>
      </c>
      <c r="E31" s="17">
        <v>3841.7857200000003</v>
      </c>
      <c r="F31" s="17">
        <v>8367.5000099999997</v>
      </c>
      <c r="G31" s="17">
        <v>0</v>
      </c>
      <c r="H31" s="25">
        <f t="shared" si="0"/>
        <v>59.821429999999999</v>
      </c>
      <c r="I31" s="5">
        <f t="shared" si="1"/>
        <v>8367.5000099999997</v>
      </c>
      <c r="J31" t="s">
        <v>16</v>
      </c>
      <c r="K31" t="s">
        <v>13</v>
      </c>
      <c r="L31" t="s">
        <v>81</v>
      </c>
      <c r="M31" t="s">
        <v>372</v>
      </c>
    </row>
    <row r="32" spans="1:13">
      <c r="A32" s="14" t="s">
        <v>91</v>
      </c>
      <c r="B32" s="17">
        <v>1092665.0856600001</v>
      </c>
      <c r="C32" s="17">
        <v>0</v>
      </c>
      <c r="D32" s="17">
        <v>2778337.7779900003</v>
      </c>
      <c r="E32" s="17">
        <v>2784858.9489500001</v>
      </c>
      <c r="F32" s="17">
        <v>1086143.9147000001</v>
      </c>
      <c r="G32" s="17">
        <v>0</v>
      </c>
      <c r="H32" s="25">
        <f t="shared" si="0"/>
        <v>1092665.0856600001</v>
      </c>
      <c r="I32" s="5">
        <f t="shared" si="1"/>
        <v>1086143.9147000001</v>
      </c>
      <c r="J32" t="s">
        <v>16</v>
      </c>
      <c r="K32" t="s">
        <v>13</v>
      </c>
      <c r="L32" t="s">
        <v>82</v>
      </c>
      <c r="M32" t="s">
        <v>372</v>
      </c>
    </row>
    <row r="33" spans="1:13">
      <c r="A33" s="14" t="s">
        <v>93</v>
      </c>
      <c r="B33" s="17">
        <v>155.40741</v>
      </c>
      <c r="C33" s="17">
        <v>0</v>
      </c>
      <c r="D33" s="17">
        <v>1681.1750400000001</v>
      </c>
      <c r="E33" s="17">
        <v>161.40741</v>
      </c>
      <c r="F33" s="17">
        <v>1675.1750400000001</v>
      </c>
      <c r="G33" s="17">
        <v>0</v>
      </c>
      <c r="H33" s="25">
        <f t="shared" si="0"/>
        <v>155.40741</v>
      </c>
      <c r="I33" s="5">
        <f t="shared" si="1"/>
        <v>1675.1750400000001</v>
      </c>
      <c r="J33" t="s">
        <v>16</v>
      </c>
      <c r="K33" t="s">
        <v>13</v>
      </c>
      <c r="L33" t="s">
        <v>83</v>
      </c>
      <c r="M33" t="s">
        <v>372</v>
      </c>
    </row>
    <row r="34" spans="1:13">
      <c r="A34" s="14" t="s">
        <v>94</v>
      </c>
      <c r="B34" s="17">
        <v>334471.49333999999</v>
      </c>
      <c r="C34" s="17">
        <v>0</v>
      </c>
      <c r="D34" s="17">
        <v>445616.60557000001</v>
      </c>
      <c r="E34" s="17">
        <v>478539.42497000005</v>
      </c>
      <c r="F34" s="17">
        <v>301548.67394000001</v>
      </c>
      <c r="G34" s="17">
        <v>0</v>
      </c>
      <c r="H34" s="25">
        <f t="shared" si="0"/>
        <v>334471.49333999999</v>
      </c>
      <c r="I34" s="5">
        <f t="shared" si="1"/>
        <v>301548.67394000001</v>
      </c>
      <c r="J34" t="s">
        <v>16</v>
      </c>
      <c r="K34" t="s">
        <v>13</v>
      </c>
      <c r="L34" t="s">
        <v>84</v>
      </c>
      <c r="M34">
        <v>0</v>
      </c>
    </row>
    <row r="35" spans="1:13">
      <c r="A35" s="14" t="s">
        <v>96</v>
      </c>
      <c r="B35" s="17">
        <v>2861797.3552700002</v>
      </c>
      <c r="C35" s="17">
        <v>0</v>
      </c>
      <c r="D35" s="17">
        <v>34967341.831919998</v>
      </c>
      <c r="E35" s="17">
        <v>33390670.78994</v>
      </c>
      <c r="F35" s="17">
        <v>4438468.3972500004</v>
      </c>
      <c r="G35" s="17">
        <v>0</v>
      </c>
      <c r="H35" s="25">
        <f t="shared" si="0"/>
        <v>2861797.3552700002</v>
      </c>
      <c r="I35" s="5">
        <f t="shared" si="1"/>
        <v>4438468.3972500004</v>
      </c>
      <c r="J35" t="s">
        <v>16</v>
      </c>
      <c r="K35" t="s">
        <v>13</v>
      </c>
      <c r="L35" t="s">
        <v>85</v>
      </c>
      <c r="M35">
        <v>0</v>
      </c>
    </row>
    <row r="36" spans="1:13">
      <c r="A36" s="14" t="s">
        <v>97</v>
      </c>
      <c r="B36" s="17">
        <v>0</v>
      </c>
      <c r="C36" s="17">
        <v>0</v>
      </c>
      <c r="D36" s="17">
        <v>7291400.8926799996</v>
      </c>
      <c r="E36" s="17">
        <v>7291400.8926799996</v>
      </c>
      <c r="F36" s="17">
        <v>0</v>
      </c>
      <c r="G36" s="17">
        <v>0</v>
      </c>
      <c r="H36" s="25">
        <f t="shared" si="0"/>
        <v>0</v>
      </c>
      <c r="I36" s="5">
        <f t="shared" si="1"/>
        <v>0</v>
      </c>
      <c r="J36" t="s">
        <v>16</v>
      </c>
      <c r="K36" t="s">
        <v>13</v>
      </c>
      <c r="L36" t="s">
        <v>86</v>
      </c>
      <c r="M36" t="s">
        <v>373</v>
      </c>
    </row>
    <row r="37" spans="1:13">
      <c r="A37" s="14" t="s">
        <v>98</v>
      </c>
      <c r="B37" s="17">
        <v>84064.254650000003</v>
      </c>
      <c r="C37" s="17">
        <v>0</v>
      </c>
      <c r="D37" s="17">
        <v>833702.68524000002</v>
      </c>
      <c r="E37" s="17">
        <v>832349.27249</v>
      </c>
      <c r="F37" s="17">
        <v>85417.667400000006</v>
      </c>
      <c r="G37" s="17">
        <v>0</v>
      </c>
      <c r="H37" s="25">
        <f t="shared" si="0"/>
        <v>84064.254650000003</v>
      </c>
      <c r="I37" s="5">
        <f t="shared" si="1"/>
        <v>85417.667400000006</v>
      </c>
      <c r="J37" t="s">
        <v>16</v>
      </c>
      <c r="K37" t="s">
        <v>13</v>
      </c>
      <c r="L37" t="s">
        <v>87</v>
      </c>
      <c r="M37" t="s">
        <v>373</v>
      </c>
    </row>
    <row r="38" spans="1:13">
      <c r="A38" s="14" t="s">
        <v>99</v>
      </c>
      <c r="B38" s="17">
        <v>2102554.5513500003</v>
      </c>
      <c r="C38" s="17">
        <v>0</v>
      </c>
      <c r="D38" s="17">
        <v>58967208.919720002</v>
      </c>
      <c r="E38" s="17">
        <v>56668051.321510002</v>
      </c>
      <c r="F38" s="17">
        <v>4401712.1495600007</v>
      </c>
      <c r="G38" s="17">
        <v>0</v>
      </c>
      <c r="H38" s="25">
        <f t="shared" si="0"/>
        <v>2102554.5513500003</v>
      </c>
      <c r="I38" s="5">
        <f t="shared" si="1"/>
        <v>4401712.1495600007</v>
      </c>
      <c r="J38" t="s">
        <v>16</v>
      </c>
      <c r="K38" t="s">
        <v>13</v>
      </c>
      <c r="L38" t="s">
        <v>88</v>
      </c>
      <c r="M38" t="s">
        <v>373</v>
      </c>
    </row>
    <row r="39" spans="1:13">
      <c r="A39" s="14" t="s">
        <v>100</v>
      </c>
      <c r="B39" s="17">
        <v>1816.8271100000002</v>
      </c>
      <c r="C39" s="17">
        <v>0</v>
      </c>
      <c r="D39" s="17">
        <v>0</v>
      </c>
      <c r="E39" s="17">
        <v>1314.3018100000002</v>
      </c>
      <c r="F39" s="17">
        <v>502.52530000000002</v>
      </c>
      <c r="G39" s="17">
        <v>0</v>
      </c>
      <c r="H39" s="25">
        <f t="shared" si="0"/>
        <v>1816.8271100000002</v>
      </c>
      <c r="I39" s="5">
        <f t="shared" si="1"/>
        <v>502.52530000000002</v>
      </c>
      <c r="J39" t="s">
        <v>16</v>
      </c>
      <c r="K39" t="s">
        <v>13</v>
      </c>
      <c r="L39" t="s">
        <v>89</v>
      </c>
      <c r="M39">
        <v>0</v>
      </c>
    </row>
    <row r="40" spans="1:13">
      <c r="A40" s="14" t="s">
        <v>102</v>
      </c>
      <c r="B40" s="17">
        <v>1594901.1998000001</v>
      </c>
      <c r="C40" s="17">
        <v>0</v>
      </c>
      <c r="D40" s="17">
        <v>17389417.11727</v>
      </c>
      <c r="E40" s="17">
        <v>16995899.349249996</v>
      </c>
      <c r="F40" s="17">
        <v>1988418.9678199999</v>
      </c>
      <c r="G40" s="17">
        <v>0</v>
      </c>
      <c r="H40" s="25">
        <f t="shared" si="0"/>
        <v>1594901.1998000001</v>
      </c>
      <c r="I40" s="5">
        <f t="shared" si="1"/>
        <v>1988418.9678199999</v>
      </c>
      <c r="J40" t="s">
        <v>16</v>
      </c>
      <c r="K40" t="s">
        <v>13</v>
      </c>
      <c r="L40" t="s">
        <v>90</v>
      </c>
      <c r="M40" t="s">
        <v>373</v>
      </c>
    </row>
    <row r="41" spans="1:13">
      <c r="A41" s="14" t="s">
        <v>103</v>
      </c>
      <c r="B41" s="17">
        <v>7586.4693299999999</v>
      </c>
      <c r="C41" s="17">
        <v>0</v>
      </c>
      <c r="D41" s="17">
        <v>6293.3188</v>
      </c>
      <c r="E41" s="17">
        <v>6688.1437900000001</v>
      </c>
      <c r="F41" s="17">
        <v>7191.6443399999998</v>
      </c>
      <c r="G41" s="17">
        <v>0</v>
      </c>
      <c r="H41" s="25">
        <f t="shared" si="0"/>
        <v>7586.4693299999999</v>
      </c>
      <c r="I41" s="5">
        <f t="shared" si="1"/>
        <v>7191.6443399999998</v>
      </c>
      <c r="J41" t="s">
        <v>16</v>
      </c>
      <c r="K41" t="s">
        <v>13</v>
      </c>
      <c r="L41" t="s">
        <v>91</v>
      </c>
      <c r="M41" t="s">
        <v>373</v>
      </c>
    </row>
    <row r="42" spans="1:13">
      <c r="A42" s="14" t="s">
        <v>105</v>
      </c>
      <c r="B42" s="17">
        <v>60315.425940000001</v>
      </c>
      <c r="C42" s="17">
        <v>0</v>
      </c>
      <c r="D42" s="17">
        <v>385379.96561000001</v>
      </c>
      <c r="E42" s="17">
        <v>338591.30541000003</v>
      </c>
      <c r="F42" s="17">
        <v>107104.08614</v>
      </c>
      <c r="G42" s="17">
        <v>0</v>
      </c>
      <c r="H42" s="25">
        <f t="shared" si="0"/>
        <v>60315.425940000001</v>
      </c>
      <c r="I42" s="5">
        <f t="shared" si="1"/>
        <v>107104.08614</v>
      </c>
      <c r="J42" t="s">
        <v>16</v>
      </c>
      <c r="K42" t="s">
        <v>13</v>
      </c>
      <c r="L42" t="s">
        <v>92</v>
      </c>
      <c r="M42">
        <v>0</v>
      </c>
    </row>
    <row r="43" spans="1:13">
      <c r="A43" s="14" t="s">
        <v>106</v>
      </c>
      <c r="B43" s="17">
        <v>0</v>
      </c>
      <c r="C43" s="17">
        <v>0</v>
      </c>
      <c r="D43" s="17">
        <v>31724.36536</v>
      </c>
      <c r="E43" s="17">
        <v>31724.36536</v>
      </c>
      <c r="F43" s="17">
        <v>0</v>
      </c>
      <c r="G43" s="17">
        <v>0</v>
      </c>
      <c r="H43" s="25">
        <f t="shared" si="0"/>
        <v>0</v>
      </c>
      <c r="I43" s="5">
        <f t="shared" si="1"/>
        <v>0</v>
      </c>
      <c r="J43" t="s">
        <v>16</v>
      </c>
      <c r="K43" t="s">
        <v>13</v>
      </c>
      <c r="L43" t="s">
        <v>93</v>
      </c>
      <c r="M43" t="s">
        <v>373</v>
      </c>
    </row>
    <row r="44" spans="1:13">
      <c r="A44" s="14" t="s">
        <v>107</v>
      </c>
      <c r="B44" s="17">
        <v>242156.66997999998</v>
      </c>
      <c r="C44" s="17">
        <v>0</v>
      </c>
      <c r="D44" s="17">
        <v>13217337.005779998</v>
      </c>
      <c r="E44" s="17">
        <v>13416518.766770002</v>
      </c>
      <c r="F44" s="17">
        <v>42974.908990000004</v>
      </c>
      <c r="G44" s="17">
        <v>0</v>
      </c>
      <c r="H44" s="25">
        <f t="shared" si="0"/>
        <v>242156.66997999998</v>
      </c>
      <c r="I44" s="5">
        <f t="shared" si="1"/>
        <v>42974.908990000004</v>
      </c>
      <c r="J44" t="s">
        <v>16</v>
      </c>
      <c r="K44" t="s">
        <v>13</v>
      </c>
      <c r="L44" t="s">
        <v>94</v>
      </c>
      <c r="M44" t="s">
        <v>373</v>
      </c>
    </row>
    <row r="45" spans="1:13">
      <c r="A45" s="14" t="s">
        <v>109</v>
      </c>
      <c r="B45" s="17">
        <v>41697.23704</v>
      </c>
      <c r="C45" s="17">
        <v>0</v>
      </c>
      <c r="D45" s="17">
        <v>42577.939340000004</v>
      </c>
      <c r="E45" s="17">
        <v>47977.167170000001</v>
      </c>
      <c r="F45" s="17">
        <v>36298.009210000004</v>
      </c>
      <c r="G45" s="17">
        <v>0</v>
      </c>
      <c r="H45" s="25">
        <f t="shared" si="0"/>
        <v>41697.23704</v>
      </c>
      <c r="I45" s="5">
        <f t="shared" si="1"/>
        <v>36298.009210000004</v>
      </c>
      <c r="J45" t="s">
        <v>16</v>
      </c>
      <c r="K45" t="s">
        <v>13</v>
      </c>
      <c r="L45" t="s">
        <v>95</v>
      </c>
      <c r="M45">
        <v>0</v>
      </c>
    </row>
    <row r="46" spans="1:13">
      <c r="A46" s="14" t="s">
        <v>111</v>
      </c>
      <c r="B46" s="17">
        <v>2730.9957799999997</v>
      </c>
      <c r="C46" s="17">
        <v>0</v>
      </c>
      <c r="D46" s="17">
        <v>1941.75407</v>
      </c>
      <c r="E46" s="17">
        <v>1602.2152699999999</v>
      </c>
      <c r="F46" s="17">
        <v>3070.53458</v>
      </c>
      <c r="G46" s="17">
        <v>0</v>
      </c>
      <c r="H46" s="25">
        <f t="shared" si="0"/>
        <v>2730.9957799999997</v>
      </c>
      <c r="I46" s="5">
        <f t="shared" si="1"/>
        <v>3070.53458</v>
      </c>
      <c r="J46" t="s">
        <v>16</v>
      </c>
      <c r="K46" t="s">
        <v>13</v>
      </c>
      <c r="L46" t="s">
        <v>96</v>
      </c>
      <c r="M46" t="s">
        <v>373</v>
      </c>
    </row>
    <row r="47" spans="1:13">
      <c r="A47" s="14" t="s">
        <v>112</v>
      </c>
      <c r="B47" s="17">
        <v>7219.6329100000003</v>
      </c>
      <c r="C47" s="17">
        <v>0</v>
      </c>
      <c r="D47" s="17">
        <v>8515.6398000000008</v>
      </c>
      <c r="E47" s="17">
        <v>3616.5002799999997</v>
      </c>
      <c r="F47" s="17">
        <v>12118.772429999999</v>
      </c>
      <c r="G47" s="17">
        <v>0</v>
      </c>
      <c r="H47" s="25">
        <f t="shared" si="0"/>
        <v>7219.6329100000003</v>
      </c>
      <c r="I47" s="5">
        <f t="shared" si="1"/>
        <v>12118.772429999999</v>
      </c>
      <c r="J47" t="s">
        <v>16</v>
      </c>
      <c r="K47" t="s">
        <v>13</v>
      </c>
      <c r="L47" t="s">
        <v>97</v>
      </c>
      <c r="M47" t="s">
        <v>373</v>
      </c>
    </row>
    <row r="48" spans="1:13">
      <c r="A48" s="14" t="s">
        <v>113</v>
      </c>
      <c r="B48" s="19">
        <v>-1802.5736899999999</v>
      </c>
      <c r="C48" s="17">
        <v>0</v>
      </c>
      <c r="D48" s="17">
        <v>39683.462729999999</v>
      </c>
      <c r="E48" s="17">
        <v>13187.650800000001</v>
      </c>
      <c r="F48" s="17">
        <v>24693.238239999999</v>
      </c>
      <c r="G48" s="17">
        <v>0</v>
      </c>
      <c r="H48" s="25">
        <f t="shared" si="0"/>
        <v>-1802.5736899999999</v>
      </c>
      <c r="I48" s="5">
        <f t="shared" si="1"/>
        <v>24693.238239999999</v>
      </c>
      <c r="J48" t="s">
        <v>16</v>
      </c>
      <c r="K48" t="s">
        <v>13</v>
      </c>
      <c r="L48" t="s">
        <v>98</v>
      </c>
      <c r="M48" t="s">
        <v>373</v>
      </c>
    </row>
    <row r="49" spans="1:13">
      <c r="A49" s="14" t="s">
        <v>115</v>
      </c>
      <c r="B49" s="17">
        <v>0</v>
      </c>
      <c r="C49" s="17">
        <v>1290571.0846199999</v>
      </c>
      <c r="D49" s="17">
        <v>707350.94115999993</v>
      </c>
      <c r="E49" s="17">
        <v>634397.15204999992</v>
      </c>
      <c r="F49" s="17">
        <v>0</v>
      </c>
      <c r="G49" s="17">
        <v>1217617.2955100003</v>
      </c>
      <c r="H49" s="25">
        <f t="shared" si="0"/>
        <v>-1290571.0846199999</v>
      </c>
      <c r="I49" s="5">
        <f t="shared" si="1"/>
        <v>-1217617.2955100003</v>
      </c>
      <c r="J49" t="s">
        <v>16</v>
      </c>
      <c r="K49" t="s">
        <v>13</v>
      </c>
      <c r="L49" t="s">
        <v>99</v>
      </c>
      <c r="M49" t="s">
        <v>373</v>
      </c>
    </row>
    <row r="50" spans="1:13">
      <c r="A50" s="14" t="s">
        <v>116</v>
      </c>
      <c r="B50" s="17">
        <v>0</v>
      </c>
      <c r="C50" s="17">
        <v>39850.861939999995</v>
      </c>
      <c r="D50" s="17">
        <v>2.9663400000000002</v>
      </c>
      <c r="E50" s="17">
        <v>0</v>
      </c>
      <c r="F50" s="17">
        <v>0</v>
      </c>
      <c r="G50" s="17">
        <v>39847.895600000003</v>
      </c>
      <c r="H50" s="25">
        <f t="shared" si="0"/>
        <v>-39850.861939999995</v>
      </c>
      <c r="I50" s="5">
        <f t="shared" si="1"/>
        <v>-39847.895600000003</v>
      </c>
      <c r="J50" t="s">
        <v>16</v>
      </c>
      <c r="K50" t="s">
        <v>13</v>
      </c>
      <c r="L50" t="s">
        <v>100</v>
      </c>
      <c r="M50" t="s">
        <v>373</v>
      </c>
    </row>
    <row r="51" spans="1:13">
      <c r="A51" s="14" t="s">
        <v>118</v>
      </c>
      <c r="B51" s="17">
        <v>20780.718410000001</v>
      </c>
      <c r="C51" s="17">
        <v>0</v>
      </c>
      <c r="D51" s="17">
        <v>144732.43400000001</v>
      </c>
      <c r="E51" s="17">
        <v>71348.35229000001</v>
      </c>
      <c r="F51" s="17">
        <v>94164.80012</v>
      </c>
      <c r="G51" s="17">
        <v>0</v>
      </c>
      <c r="H51" s="25">
        <f t="shared" si="0"/>
        <v>20780.718410000001</v>
      </c>
      <c r="I51" s="5">
        <f t="shared" si="1"/>
        <v>94164.80012</v>
      </c>
      <c r="J51" t="s">
        <v>17</v>
      </c>
      <c r="K51" t="s">
        <v>13</v>
      </c>
      <c r="L51" t="s">
        <v>101</v>
      </c>
      <c r="M51">
        <v>0</v>
      </c>
    </row>
    <row r="52" spans="1:13">
      <c r="A52" s="14" t="s">
        <v>119</v>
      </c>
      <c r="B52" s="17">
        <v>18314.907670000001</v>
      </c>
      <c r="C52" s="17">
        <v>0</v>
      </c>
      <c r="D52" s="17">
        <v>2690553.56611</v>
      </c>
      <c r="E52" s="17">
        <v>2708868.4737799997</v>
      </c>
      <c r="F52" s="17">
        <v>0</v>
      </c>
      <c r="G52" s="17">
        <v>0</v>
      </c>
      <c r="H52" s="25">
        <f t="shared" si="0"/>
        <v>18314.907670000001</v>
      </c>
      <c r="I52" s="5">
        <f t="shared" si="1"/>
        <v>0</v>
      </c>
      <c r="J52" s="2" t="s">
        <v>11</v>
      </c>
      <c r="K52" t="s">
        <v>13</v>
      </c>
      <c r="L52" t="s">
        <v>102</v>
      </c>
      <c r="M52" t="s">
        <v>373</v>
      </c>
    </row>
    <row r="53" spans="1:13">
      <c r="A53" s="14" t="s">
        <v>120</v>
      </c>
      <c r="B53" s="17">
        <v>50091.324509999999</v>
      </c>
      <c r="C53" s="17">
        <v>0</v>
      </c>
      <c r="D53" s="17">
        <v>5067.4213399999999</v>
      </c>
      <c r="E53" s="19">
        <v>-1787.8944099999999</v>
      </c>
      <c r="F53" s="17">
        <v>56946.64026</v>
      </c>
      <c r="G53" s="17">
        <v>0</v>
      </c>
      <c r="H53" s="25">
        <f t="shared" si="0"/>
        <v>50091.324509999999</v>
      </c>
      <c r="I53" s="5">
        <f t="shared" si="1"/>
        <v>56946.64026</v>
      </c>
      <c r="J53" t="s">
        <v>19</v>
      </c>
      <c r="K53" t="s">
        <v>13</v>
      </c>
      <c r="L53" t="s">
        <v>103</v>
      </c>
      <c r="M53" t="s">
        <v>373</v>
      </c>
    </row>
    <row r="54" spans="1:13">
      <c r="A54" s="14" t="s">
        <v>121</v>
      </c>
      <c r="B54" s="17">
        <v>0</v>
      </c>
      <c r="C54" s="17">
        <v>0</v>
      </c>
      <c r="D54" s="17">
        <v>77737.587889999995</v>
      </c>
      <c r="E54" s="17">
        <v>77737.587889999995</v>
      </c>
      <c r="F54" s="17">
        <v>0</v>
      </c>
      <c r="G54" s="17">
        <v>0</v>
      </c>
      <c r="H54" s="25">
        <f t="shared" si="0"/>
        <v>0</v>
      </c>
      <c r="I54" s="5">
        <f t="shared" si="1"/>
        <v>0</v>
      </c>
      <c r="J54" t="s">
        <v>19</v>
      </c>
      <c r="K54" t="s">
        <v>13</v>
      </c>
      <c r="L54" t="s">
        <v>104</v>
      </c>
      <c r="M54">
        <v>0</v>
      </c>
    </row>
    <row r="55" spans="1:13">
      <c r="A55" s="14" t="s">
        <v>123</v>
      </c>
      <c r="B55" s="17">
        <v>39554.77594</v>
      </c>
      <c r="C55" s="17">
        <v>0</v>
      </c>
      <c r="D55" s="17">
        <v>85513.564050000001</v>
      </c>
      <c r="E55" s="17">
        <v>96476.105920000002</v>
      </c>
      <c r="F55" s="17">
        <v>28592.234069999999</v>
      </c>
      <c r="G55" s="17">
        <v>0</v>
      </c>
      <c r="H55" s="25">
        <f t="shared" si="0"/>
        <v>39554.77594</v>
      </c>
      <c r="I55" s="5">
        <f t="shared" si="1"/>
        <v>28592.234069999999</v>
      </c>
      <c r="J55" t="s">
        <v>25</v>
      </c>
      <c r="K55" t="s">
        <v>13</v>
      </c>
      <c r="L55" t="s">
        <v>105</v>
      </c>
      <c r="M55" t="s">
        <v>373</v>
      </c>
    </row>
    <row r="56" spans="1:13">
      <c r="A56" s="14" t="s">
        <v>126</v>
      </c>
      <c r="B56" s="17">
        <v>486380.25868000003</v>
      </c>
      <c r="C56" s="17">
        <v>0</v>
      </c>
      <c r="D56" s="17">
        <v>14885812.241369998</v>
      </c>
      <c r="E56" s="17">
        <v>14884713.800100001</v>
      </c>
      <c r="F56" s="17">
        <v>487478.69994999998</v>
      </c>
      <c r="G56" s="17">
        <v>0</v>
      </c>
      <c r="H56" s="25">
        <f t="shared" si="0"/>
        <v>486380.25868000003</v>
      </c>
      <c r="I56" s="5">
        <f t="shared" si="1"/>
        <v>487478.69994999998</v>
      </c>
      <c r="J56" t="s">
        <v>12</v>
      </c>
      <c r="K56" t="s">
        <v>13</v>
      </c>
      <c r="L56" t="s">
        <v>106</v>
      </c>
      <c r="M56" t="s">
        <v>373</v>
      </c>
    </row>
    <row r="57" spans="1:13">
      <c r="A57" s="14" t="s">
        <v>128</v>
      </c>
      <c r="B57" s="17">
        <v>3704.4946</v>
      </c>
      <c r="C57" s="17">
        <v>0</v>
      </c>
      <c r="D57" s="17">
        <v>186702.8561</v>
      </c>
      <c r="E57" s="17">
        <v>133769.79723999999</v>
      </c>
      <c r="F57" s="17">
        <v>56637.553460000003</v>
      </c>
      <c r="G57" s="17">
        <v>0</v>
      </c>
      <c r="H57" s="25">
        <f t="shared" si="0"/>
        <v>3704.4946</v>
      </c>
      <c r="I57" s="5">
        <f t="shared" si="1"/>
        <v>56637.553460000003</v>
      </c>
      <c r="J57" t="s">
        <v>12</v>
      </c>
      <c r="K57" t="s">
        <v>13</v>
      </c>
      <c r="L57" t="s">
        <v>107</v>
      </c>
      <c r="M57" t="s">
        <v>373</v>
      </c>
    </row>
    <row r="58" spans="1:13">
      <c r="A58" s="14" t="s">
        <v>129</v>
      </c>
      <c r="B58" s="17">
        <v>50784.99353</v>
      </c>
      <c r="C58" s="17">
        <v>0</v>
      </c>
      <c r="D58" s="17">
        <v>172150.56921000002</v>
      </c>
      <c r="E58" s="17">
        <v>141206.37964</v>
      </c>
      <c r="F58" s="17">
        <v>81729.183099999995</v>
      </c>
      <c r="G58" s="17">
        <v>0</v>
      </c>
      <c r="H58" s="25">
        <f t="shared" si="0"/>
        <v>50784.99353</v>
      </c>
      <c r="I58" s="5">
        <f t="shared" si="1"/>
        <v>81729.183099999995</v>
      </c>
      <c r="J58" t="s">
        <v>12</v>
      </c>
      <c r="K58" t="s">
        <v>13</v>
      </c>
      <c r="L58" t="s">
        <v>108</v>
      </c>
      <c r="M58">
        <v>0</v>
      </c>
    </row>
    <row r="59" spans="1:13">
      <c r="A59" s="14" t="s">
        <v>130</v>
      </c>
      <c r="B59" s="17">
        <v>37363.647979999994</v>
      </c>
      <c r="C59" s="17">
        <v>0</v>
      </c>
      <c r="D59" s="17">
        <v>351678.04230999999</v>
      </c>
      <c r="E59" s="17">
        <v>144978.06361000001</v>
      </c>
      <c r="F59" s="17">
        <v>244063.62668000002</v>
      </c>
      <c r="G59" s="17">
        <v>0</v>
      </c>
      <c r="H59" s="25">
        <f t="shared" si="0"/>
        <v>37363.647979999994</v>
      </c>
      <c r="I59" s="5">
        <f>F59-G59</f>
        <v>244063.62668000002</v>
      </c>
      <c r="J59" s="2" t="s">
        <v>7</v>
      </c>
      <c r="K59" t="s">
        <v>13</v>
      </c>
      <c r="L59" t="s">
        <v>109</v>
      </c>
      <c r="M59" t="s">
        <v>373</v>
      </c>
    </row>
    <row r="60" spans="1:13">
      <c r="A60" s="14" t="s">
        <v>131</v>
      </c>
      <c r="B60" s="17">
        <v>142710.5301</v>
      </c>
      <c r="C60" s="17">
        <v>0</v>
      </c>
      <c r="D60" s="17">
        <v>1585635.91609</v>
      </c>
      <c r="E60" s="17">
        <v>845916.08014999994</v>
      </c>
      <c r="F60" s="17">
        <v>882430.36603999999</v>
      </c>
      <c r="G60" s="17">
        <v>0</v>
      </c>
      <c r="H60" s="25">
        <f t="shared" si="0"/>
        <v>142710.5301</v>
      </c>
      <c r="I60" s="5">
        <f t="shared" si="1"/>
        <v>882430.36603999999</v>
      </c>
      <c r="J60" s="2" t="s">
        <v>7</v>
      </c>
      <c r="K60" t="s">
        <v>13</v>
      </c>
      <c r="L60" t="s">
        <v>110</v>
      </c>
      <c r="M60">
        <v>0</v>
      </c>
    </row>
    <row r="61" spans="1:13">
      <c r="A61" s="14" t="s">
        <v>132</v>
      </c>
      <c r="B61" s="17">
        <v>9.5402500000000003</v>
      </c>
      <c r="C61" s="17">
        <v>0</v>
      </c>
      <c r="D61" s="17">
        <v>336260.69729000004</v>
      </c>
      <c r="E61" s="17">
        <v>43623.294409999995</v>
      </c>
      <c r="F61" s="17">
        <v>292646.94312999997</v>
      </c>
      <c r="G61" s="17">
        <v>0</v>
      </c>
      <c r="H61" s="25">
        <f t="shared" si="0"/>
        <v>9.5402500000000003</v>
      </c>
      <c r="I61" s="5">
        <f t="shared" si="1"/>
        <v>292646.94312999997</v>
      </c>
      <c r="J61" s="2" t="s">
        <v>7</v>
      </c>
      <c r="K61" t="s">
        <v>13</v>
      </c>
      <c r="L61" t="s">
        <v>111</v>
      </c>
      <c r="M61" t="s">
        <v>373</v>
      </c>
    </row>
    <row r="62" spans="1:13">
      <c r="A62" s="14" t="s">
        <v>133</v>
      </c>
      <c r="B62" s="17">
        <v>0</v>
      </c>
      <c r="C62" s="17">
        <v>0</v>
      </c>
      <c r="D62" s="17">
        <v>86849.921400000007</v>
      </c>
      <c r="E62" s="17">
        <v>21111.382000000001</v>
      </c>
      <c r="F62" s="17">
        <v>65738.539399999994</v>
      </c>
      <c r="G62" s="17">
        <v>0</v>
      </c>
      <c r="H62" s="25">
        <f t="shared" si="0"/>
        <v>0</v>
      </c>
      <c r="I62" s="5">
        <f t="shared" si="1"/>
        <v>65738.539399999994</v>
      </c>
      <c r="J62" t="s">
        <v>2038</v>
      </c>
      <c r="K62" t="s">
        <v>13</v>
      </c>
      <c r="L62" t="s">
        <v>112</v>
      </c>
      <c r="M62" t="s">
        <v>373</v>
      </c>
    </row>
    <row r="63" spans="1:13">
      <c r="A63" s="14" t="s">
        <v>135</v>
      </c>
      <c r="B63" s="17">
        <v>0</v>
      </c>
      <c r="C63" s="17">
        <v>0</v>
      </c>
      <c r="D63" s="17">
        <v>108814.97406000001</v>
      </c>
      <c r="E63" s="17">
        <v>108814.97406000001</v>
      </c>
      <c r="F63" s="17">
        <v>0</v>
      </c>
      <c r="G63" s="17">
        <v>0</v>
      </c>
      <c r="H63" s="25">
        <f t="shared" si="0"/>
        <v>0</v>
      </c>
      <c r="I63" s="5">
        <f t="shared" si="1"/>
        <v>0</v>
      </c>
      <c r="J63" s="2" t="s">
        <v>23</v>
      </c>
      <c r="K63" t="s">
        <v>13</v>
      </c>
      <c r="L63" t="s">
        <v>113</v>
      </c>
      <c r="M63" t="s">
        <v>373</v>
      </c>
    </row>
    <row r="64" spans="1:13">
      <c r="A64" s="14" t="s">
        <v>136</v>
      </c>
      <c r="B64" s="17">
        <v>1750368.94472</v>
      </c>
      <c r="C64" s="17">
        <v>0</v>
      </c>
      <c r="D64" s="17">
        <v>1965182.56706</v>
      </c>
      <c r="E64" s="17">
        <v>8911.9585700000007</v>
      </c>
      <c r="F64" s="17">
        <v>3706639.55321</v>
      </c>
      <c r="G64" s="17">
        <v>0</v>
      </c>
      <c r="H64" s="25">
        <f t="shared" si="0"/>
        <v>1750368.94472</v>
      </c>
      <c r="I64" s="5">
        <f t="shared" si="1"/>
        <v>3706639.55321</v>
      </c>
      <c r="J64" t="s">
        <v>22</v>
      </c>
      <c r="K64" t="s">
        <v>13</v>
      </c>
      <c r="L64" t="s">
        <v>114</v>
      </c>
      <c r="M64">
        <v>0</v>
      </c>
    </row>
    <row r="65" spans="1:13">
      <c r="A65" s="14" t="s">
        <v>139</v>
      </c>
      <c r="B65" s="17">
        <v>0</v>
      </c>
      <c r="C65" s="17">
        <v>808696.77691000002</v>
      </c>
      <c r="D65" s="17">
        <v>0</v>
      </c>
      <c r="E65" s="19">
        <v>-364416.30541000003</v>
      </c>
      <c r="F65" s="17">
        <v>0</v>
      </c>
      <c r="G65" s="17">
        <v>444280.47149999999</v>
      </c>
      <c r="H65" s="177">
        <f t="shared" si="0"/>
        <v>-808696.77691000002</v>
      </c>
      <c r="I65" s="5">
        <f t="shared" si="1"/>
        <v>-444280.47149999999</v>
      </c>
      <c r="J65" s="2" t="s">
        <v>21</v>
      </c>
      <c r="K65" t="s">
        <v>13</v>
      </c>
      <c r="L65" t="s">
        <v>115</v>
      </c>
      <c r="M65" t="s">
        <v>373</v>
      </c>
    </row>
    <row r="66" spans="1:13">
      <c r="A66" s="14" t="s">
        <v>141</v>
      </c>
      <c r="B66" s="17">
        <v>166247.1</v>
      </c>
      <c r="C66" s="17">
        <v>0</v>
      </c>
      <c r="D66" s="17">
        <v>250</v>
      </c>
      <c r="E66" s="17">
        <v>0</v>
      </c>
      <c r="F66" s="17">
        <v>166497.1</v>
      </c>
      <c r="G66" s="17">
        <v>0</v>
      </c>
      <c r="H66" s="25">
        <f t="shared" si="0"/>
        <v>166247.1</v>
      </c>
      <c r="I66" s="5">
        <f t="shared" si="1"/>
        <v>166497.1</v>
      </c>
      <c r="J66" s="2" t="s">
        <v>392</v>
      </c>
      <c r="K66" t="s">
        <v>13</v>
      </c>
      <c r="L66" t="s">
        <v>116</v>
      </c>
      <c r="M66" t="s">
        <v>373</v>
      </c>
    </row>
    <row r="67" spans="1:13">
      <c r="A67" s="14" t="s">
        <v>143</v>
      </c>
      <c r="B67" s="17">
        <v>0</v>
      </c>
      <c r="C67" s="17">
        <v>0</v>
      </c>
      <c r="D67" s="17">
        <v>284882.80381000001</v>
      </c>
      <c r="E67" s="17">
        <v>0</v>
      </c>
      <c r="F67" s="17">
        <v>284882.80381000001</v>
      </c>
      <c r="G67" s="17">
        <v>0</v>
      </c>
      <c r="H67" s="25">
        <f t="shared" si="0"/>
        <v>0</v>
      </c>
      <c r="I67" s="5">
        <f t="shared" si="1"/>
        <v>284882.80381000001</v>
      </c>
      <c r="J67" s="2" t="s">
        <v>8</v>
      </c>
      <c r="K67" t="s">
        <v>13</v>
      </c>
      <c r="L67" t="s">
        <v>117</v>
      </c>
      <c r="M67">
        <v>0</v>
      </c>
    </row>
    <row r="68" spans="1:13">
      <c r="A68" s="14" t="s">
        <v>144</v>
      </c>
      <c r="B68" s="17">
        <v>0</v>
      </c>
      <c r="C68" s="17">
        <v>0</v>
      </c>
      <c r="D68" s="17">
        <v>0</v>
      </c>
      <c r="E68" s="17">
        <v>78290.37874</v>
      </c>
      <c r="F68" s="17">
        <v>0</v>
      </c>
      <c r="G68" s="17">
        <v>78290.37874</v>
      </c>
      <c r="H68" s="25">
        <f t="shared" si="0"/>
        <v>0</v>
      </c>
      <c r="I68" s="5">
        <f t="shared" si="1"/>
        <v>-78290.37874</v>
      </c>
      <c r="J68" s="2" t="s">
        <v>8</v>
      </c>
      <c r="K68" t="s">
        <v>13</v>
      </c>
      <c r="L68" t="s">
        <v>118</v>
      </c>
      <c r="M68" t="s">
        <v>374</v>
      </c>
    </row>
    <row r="69" spans="1:13">
      <c r="A69" s="14" t="s">
        <v>147</v>
      </c>
      <c r="B69" s="17">
        <v>31294.276999999998</v>
      </c>
      <c r="C69" s="17">
        <v>0</v>
      </c>
      <c r="D69" s="17">
        <v>0</v>
      </c>
      <c r="E69" s="17">
        <v>0</v>
      </c>
      <c r="F69" s="17">
        <v>31294.276999999998</v>
      </c>
      <c r="G69" s="17">
        <v>0</v>
      </c>
      <c r="H69" s="25">
        <f t="shared" si="0"/>
        <v>31294.276999999998</v>
      </c>
      <c r="I69" s="5">
        <f t="shared" si="1"/>
        <v>31294.276999999998</v>
      </c>
      <c r="J69" s="2" t="s">
        <v>7</v>
      </c>
      <c r="K69" t="s">
        <v>13</v>
      </c>
      <c r="L69" t="s">
        <v>119</v>
      </c>
      <c r="M69" t="s">
        <v>375</v>
      </c>
    </row>
    <row r="70" spans="1:13">
      <c r="A70" s="14" t="s">
        <v>148</v>
      </c>
      <c r="B70" s="17">
        <v>22727531.783020001</v>
      </c>
      <c r="C70" s="17">
        <v>0</v>
      </c>
      <c r="D70" s="17">
        <v>11647860.223200001</v>
      </c>
      <c r="E70" s="17">
        <v>10251104.16948</v>
      </c>
      <c r="F70" s="17">
        <v>24124287.836740002</v>
      </c>
      <c r="G70" s="17">
        <v>0</v>
      </c>
      <c r="H70" s="25">
        <f t="shared" si="0"/>
        <v>22727531.783020001</v>
      </c>
      <c r="I70" s="5">
        <f t="shared" si="1"/>
        <v>24124287.836740002</v>
      </c>
      <c r="J70" s="2" t="s">
        <v>7</v>
      </c>
      <c r="K70" t="s">
        <v>13</v>
      </c>
      <c r="L70" t="s">
        <v>120</v>
      </c>
      <c r="M70" t="s">
        <v>372</v>
      </c>
    </row>
    <row r="71" spans="1:13">
      <c r="A71" s="14" t="s">
        <v>149</v>
      </c>
      <c r="B71" s="17">
        <v>13439765.69258</v>
      </c>
      <c r="C71" s="17">
        <v>0</v>
      </c>
      <c r="D71" s="17">
        <v>13048510.15086</v>
      </c>
      <c r="E71" s="17">
        <v>8298915.4319900004</v>
      </c>
      <c r="F71" s="17">
        <v>18189360.411450002</v>
      </c>
      <c r="G71" s="17">
        <v>0</v>
      </c>
      <c r="H71" s="25">
        <f t="shared" ref="H71:H108" si="2">B71-C71</f>
        <v>13439765.69258</v>
      </c>
      <c r="I71" s="5">
        <f t="shared" ref="I71:I108" si="3">F71-G71</f>
        <v>18189360.411450002</v>
      </c>
      <c r="J71" s="2" t="s">
        <v>7</v>
      </c>
      <c r="K71" t="s">
        <v>13</v>
      </c>
      <c r="L71" t="s">
        <v>121</v>
      </c>
      <c r="M71" t="s">
        <v>372</v>
      </c>
    </row>
    <row r="72" spans="1:13">
      <c r="A72" s="14" t="s">
        <v>150</v>
      </c>
      <c r="B72" s="17">
        <v>2199026.2672700002</v>
      </c>
      <c r="C72" s="17">
        <v>0</v>
      </c>
      <c r="D72" s="17">
        <v>347677.47733999998</v>
      </c>
      <c r="E72" s="17">
        <v>241504.06896999999</v>
      </c>
      <c r="F72" s="17">
        <v>2305199.67564</v>
      </c>
      <c r="G72" s="17">
        <v>0</v>
      </c>
      <c r="H72" s="25">
        <f t="shared" si="2"/>
        <v>2199026.2672700002</v>
      </c>
      <c r="I72" s="5">
        <f t="shared" si="3"/>
        <v>2305199.67564</v>
      </c>
      <c r="J72" s="2" t="s">
        <v>7</v>
      </c>
      <c r="K72" t="s">
        <v>13</v>
      </c>
      <c r="L72" t="s">
        <v>122</v>
      </c>
      <c r="M72">
        <v>0</v>
      </c>
    </row>
    <row r="73" spans="1:13">
      <c r="A73" s="14" t="s">
        <v>151</v>
      </c>
      <c r="B73" s="17">
        <v>630070.93212999997</v>
      </c>
      <c r="C73" s="17">
        <v>0</v>
      </c>
      <c r="D73" s="17">
        <v>854309.81160000002</v>
      </c>
      <c r="E73" s="17">
        <v>628314.23171000008</v>
      </c>
      <c r="F73" s="17">
        <v>856066.51202000002</v>
      </c>
      <c r="G73" s="17">
        <v>0</v>
      </c>
      <c r="H73" s="25">
        <f t="shared" si="2"/>
        <v>630070.93212999997</v>
      </c>
      <c r="I73" s="5">
        <f t="shared" si="3"/>
        <v>856066.51202000002</v>
      </c>
      <c r="J73" s="2" t="s">
        <v>7</v>
      </c>
      <c r="K73" t="s">
        <v>13</v>
      </c>
      <c r="L73" t="s">
        <v>123</v>
      </c>
      <c r="M73" t="s">
        <v>376</v>
      </c>
    </row>
    <row r="74" spans="1:13">
      <c r="A74" s="14" t="s">
        <v>152</v>
      </c>
      <c r="B74" s="17">
        <v>5640589</v>
      </c>
      <c r="C74" s="17">
        <v>0</v>
      </c>
      <c r="D74" s="17">
        <v>0</v>
      </c>
      <c r="E74" s="17">
        <v>0</v>
      </c>
      <c r="F74" s="17">
        <v>5640589</v>
      </c>
      <c r="G74" s="17">
        <v>0</v>
      </c>
      <c r="H74" s="25">
        <f t="shared" si="2"/>
        <v>5640589</v>
      </c>
      <c r="I74" s="5">
        <f t="shared" si="3"/>
        <v>5640589</v>
      </c>
      <c r="J74" s="2" t="s">
        <v>7</v>
      </c>
      <c r="K74" t="s">
        <v>13</v>
      </c>
      <c r="L74" t="s">
        <v>124</v>
      </c>
    </row>
    <row r="75" spans="1:13">
      <c r="A75" s="14" t="s">
        <v>153</v>
      </c>
      <c r="B75" s="17">
        <v>414053.20087</v>
      </c>
      <c r="C75" s="17">
        <v>0</v>
      </c>
      <c r="D75" s="17">
        <v>236297.25687000001</v>
      </c>
      <c r="E75" s="17">
        <v>236297.25687000001</v>
      </c>
      <c r="F75" s="17">
        <v>414053.20087</v>
      </c>
      <c r="G75" s="17">
        <v>0</v>
      </c>
      <c r="H75" s="25">
        <f t="shared" si="2"/>
        <v>414053.20087</v>
      </c>
      <c r="I75" s="5">
        <f t="shared" si="3"/>
        <v>414053.20087</v>
      </c>
      <c r="J75" s="2" t="s">
        <v>7</v>
      </c>
      <c r="K75" t="s">
        <v>13</v>
      </c>
      <c r="L75" t="s">
        <v>125</v>
      </c>
    </row>
    <row r="76" spans="1:13">
      <c r="A76" s="14" t="s">
        <v>154</v>
      </c>
      <c r="B76" s="17">
        <v>284882.80381000001</v>
      </c>
      <c r="C76" s="17">
        <v>0</v>
      </c>
      <c r="D76" s="17">
        <v>284882.80381000001</v>
      </c>
      <c r="E76" s="17">
        <v>569765.60762000002</v>
      </c>
      <c r="F76" s="17">
        <v>0</v>
      </c>
      <c r="G76" s="17">
        <v>0</v>
      </c>
      <c r="H76" s="25">
        <f t="shared" si="2"/>
        <v>284882.80381000001</v>
      </c>
      <c r="I76" s="5">
        <f t="shared" si="3"/>
        <v>0</v>
      </c>
      <c r="J76" s="2" t="s">
        <v>8</v>
      </c>
      <c r="K76" t="s">
        <v>13</v>
      </c>
      <c r="L76" t="s">
        <v>126</v>
      </c>
      <c r="M76" t="s">
        <v>377</v>
      </c>
    </row>
    <row r="77" spans="1:13">
      <c r="A77" s="14" t="s">
        <v>156</v>
      </c>
      <c r="B77" s="17">
        <v>0</v>
      </c>
      <c r="C77" s="17">
        <v>7383843.3812199989</v>
      </c>
      <c r="D77" s="17">
        <v>4561844.2697200002</v>
      </c>
      <c r="E77" s="17">
        <v>6031362.179920001</v>
      </c>
      <c r="F77" s="17">
        <v>0</v>
      </c>
      <c r="G77" s="17">
        <v>8853361.2914199997</v>
      </c>
      <c r="H77" s="25">
        <f t="shared" si="2"/>
        <v>-7383843.3812199989</v>
      </c>
      <c r="I77" s="5">
        <f t="shared" si="3"/>
        <v>-8853361.2914199997</v>
      </c>
      <c r="J77" s="2" t="s">
        <v>7</v>
      </c>
      <c r="K77" t="s">
        <v>13</v>
      </c>
      <c r="L77" t="s">
        <v>127</v>
      </c>
    </row>
    <row r="78" spans="1:13">
      <c r="A78" s="14" t="s">
        <v>157</v>
      </c>
      <c r="B78" s="17">
        <v>0</v>
      </c>
      <c r="C78" s="17">
        <v>5557685.4720799997</v>
      </c>
      <c r="D78" s="17">
        <v>4085628.8528299998</v>
      </c>
      <c r="E78" s="17">
        <v>5899097.7672899999</v>
      </c>
      <c r="F78" s="17">
        <v>0</v>
      </c>
      <c r="G78" s="17">
        <v>7371154.3865400003</v>
      </c>
      <c r="H78" s="25">
        <f t="shared" si="2"/>
        <v>-5557685.4720799997</v>
      </c>
      <c r="I78" s="5">
        <f t="shared" si="3"/>
        <v>-7371154.3865400003</v>
      </c>
      <c r="J78" s="2" t="s">
        <v>7</v>
      </c>
      <c r="K78" t="s">
        <v>13</v>
      </c>
      <c r="L78" t="s">
        <v>128</v>
      </c>
      <c r="M78" t="s">
        <v>372</v>
      </c>
    </row>
    <row r="79" spans="1:13">
      <c r="A79" s="14" t="s">
        <v>158</v>
      </c>
      <c r="B79" s="17">
        <v>0</v>
      </c>
      <c r="C79" s="17">
        <v>868604.97713000001</v>
      </c>
      <c r="D79" s="17">
        <v>116551.93951000001</v>
      </c>
      <c r="E79" s="17">
        <v>287237.09074999997</v>
      </c>
      <c r="F79" s="17">
        <v>0</v>
      </c>
      <c r="G79" s="17">
        <v>1039290.12837</v>
      </c>
      <c r="H79" s="25">
        <f t="shared" si="2"/>
        <v>-868604.97713000001</v>
      </c>
      <c r="I79" s="5">
        <f t="shared" si="3"/>
        <v>-1039290.12837</v>
      </c>
      <c r="J79" s="2" t="s">
        <v>7</v>
      </c>
      <c r="K79" t="s">
        <v>13</v>
      </c>
      <c r="L79" t="s">
        <v>129</v>
      </c>
      <c r="M79" t="s">
        <v>372</v>
      </c>
    </row>
    <row r="80" spans="1:13">
      <c r="A80" s="14" t="s">
        <v>159</v>
      </c>
      <c r="B80" s="17">
        <v>0</v>
      </c>
      <c r="C80" s="17">
        <v>394501.97360000003</v>
      </c>
      <c r="D80" s="17">
        <v>385766.87264999998</v>
      </c>
      <c r="E80" s="17">
        <v>471946.81501999998</v>
      </c>
      <c r="F80" s="17">
        <v>0</v>
      </c>
      <c r="G80" s="17">
        <v>480681.91597000003</v>
      </c>
      <c r="H80" s="25">
        <f t="shared" si="2"/>
        <v>-394501.97360000003</v>
      </c>
      <c r="I80" s="5">
        <f t="shared" si="3"/>
        <v>-480681.91597000003</v>
      </c>
      <c r="J80" s="2" t="s">
        <v>7</v>
      </c>
      <c r="K80" t="s">
        <v>13</v>
      </c>
      <c r="L80" t="s">
        <v>130</v>
      </c>
      <c r="M80" t="s">
        <v>0</v>
      </c>
    </row>
    <row r="81" spans="1:13">
      <c r="A81" s="14" t="s">
        <v>160</v>
      </c>
      <c r="B81" s="17">
        <v>0</v>
      </c>
      <c r="C81" s="17">
        <v>884224.38300000003</v>
      </c>
      <c r="D81" s="17">
        <v>0</v>
      </c>
      <c r="E81" s="17">
        <v>0</v>
      </c>
      <c r="F81" s="17">
        <v>0</v>
      </c>
      <c r="G81" s="17">
        <v>884224.38300000003</v>
      </c>
      <c r="H81" s="25">
        <f t="shared" si="2"/>
        <v>-884224.38300000003</v>
      </c>
      <c r="I81" s="5">
        <f t="shared" si="3"/>
        <v>-884224.38300000003</v>
      </c>
      <c r="J81" s="2" t="s">
        <v>7</v>
      </c>
      <c r="K81" t="s">
        <v>13</v>
      </c>
      <c r="L81" t="s">
        <v>131</v>
      </c>
      <c r="M81" t="s">
        <v>0</v>
      </c>
    </row>
    <row r="82" spans="1:13">
      <c r="A82" s="14" t="s">
        <v>161</v>
      </c>
      <c r="B82" s="17">
        <v>0</v>
      </c>
      <c r="C82" s="17">
        <v>414053.20087</v>
      </c>
      <c r="D82" s="17">
        <v>236297.25687000001</v>
      </c>
      <c r="E82" s="17">
        <v>236297.25687000001</v>
      </c>
      <c r="F82" s="17">
        <v>0</v>
      </c>
      <c r="G82" s="17">
        <v>414053.20087</v>
      </c>
      <c r="H82" s="25">
        <f t="shared" si="2"/>
        <v>-414053.20087</v>
      </c>
      <c r="I82" s="5">
        <f t="shared" si="3"/>
        <v>-414053.20087</v>
      </c>
      <c r="J82" s="2" t="s">
        <v>7</v>
      </c>
      <c r="K82" t="s">
        <v>13</v>
      </c>
      <c r="L82" t="s">
        <v>132</v>
      </c>
      <c r="M82" t="s">
        <v>0</v>
      </c>
    </row>
    <row r="83" spans="1:13">
      <c r="A83" s="14" t="s">
        <v>162</v>
      </c>
      <c r="B83" s="17">
        <v>0</v>
      </c>
      <c r="C83" s="17">
        <v>68461.922019999998</v>
      </c>
      <c r="D83" s="17">
        <v>155761.71941999998</v>
      </c>
      <c r="E83" s="17">
        <v>87299.79740000001</v>
      </c>
      <c r="F83" s="17">
        <v>0</v>
      </c>
      <c r="G83" s="17">
        <v>0</v>
      </c>
      <c r="H83" s="25">
        <f t="shared" si="2"/>
        <v>-68461.922019999998</v>
      </c>
      <c r="I83" s="5">
        <f t="shared" si="3"/>
        <v>0</v>
      </c>
      <c r="J83" s="2" t="s">
        <v>8</v>
      </c>
      <c r="K83" t="s">
        <v>13</v>
      </c>
      <c r="L83" t="s">
        <v>133</v>
      </c>
      <c r="M83" t="e">
        <v>#N/A</v>
      </c>
    </row>
    <row r="84" spans="1:13">
      <c r="A84" s="14" t="s">
        <v>165</v>
      </c>
      <c r="B84" s="17">
        <v>430809.79706999997</v>
      </c>
      <c r="C84" s="17">
        <v>0</v>
      </c>
      <c r="D84" s="17">
        <v>222225.04430000001</v>
      </c>
      <c r="E84" s="17">
        <v>131860.52333</v>
      </c>
      <c r="F84" s="17">
        <v>521174.31804000004</v>
      </c>
      <c r="G84" s="17">
        <v>0</v>
      </c>
      <c r="H84" s="25">
        <f t="shared" si="2"/>
        <v>430809.79706999997</v>
      </c>
      <c r="I84" s="5">
        <f t="shared" si="3"/>
        <v>521174.31804000004</v>
      </c>
      <c r="J84" s="2" t="s">
        <v>9</v>
      </c>
      <c r="K84" t="s">
        <v>13</v>
      </c>
      <c r="L84" t="s">
        <v>134</v>
      </c>
      <c r="M84">
        <v>0</v>
      </c>
    </row>
    <row r="85" spans="1:13">
      <c r="A85" s="14" t="s">
        <v>166</v>
      </c>
      <c r="B85" s="17">
        <v>1201804.3259999999</v>
      </c>
      <c r="C85" s="17">
        <v>0</v>
      </c>
      <c r="D85" s="17">
        <v>0</v>
      </c>
      <c r="E85" s="17">
        <v>0</v>
      </c>
      <c r="F85" s="17">
        <v>1201804.3259999999</v>
      </c>
      <c r="G85" s="17">
        <v>0</v>
      </c>
      <c r="H85" s="25">
        <f t="shared" si="2"/>
        <v>1201804.3259999999</v>
      </c>
      <c r="I85" s="5">
        <f t="shared" si="3"/>
        <v>1201804.3259999999</v>
      </c>
      <c r="J85" s="2" t="s">
        <v>9</v>
      </c>
      <c r="K85" t="s">
        <v>13</v>
      </c>
      <c r="L85" t="s">
        <v>135</v>
      </c>
      <c r="M85" t="s">
        <v>3</v>
      </c>
    </row>
    <row r="86" spans="1:13">
      <c r="A86" s="14" t="s">
        <v>168</v>
      </c>
      <c r="B86" s="17">
        <v>0</v>
      </c>
      <c r="C86" s="17">
        <v>157192.43033999999</v>
      </c>
      <c r="D86" s="17">
        <v>120693.25821</v>
      </c>
      <c r="E86" s="17">
        <v>176011.42702</v>
      </c>
      <c r="F86" s="17">
        <v>0</v>
      </c>
      <c r="G86" s="17">
        <v>212510.59914999999</v>
      </c>
      <c r="H86" s="25">
        <f t="shared" si="2"/>
        <v>-157192.43033999999</v>
      </c>
      <c r="I86" s="5">
        <f t="shared" si="3"/>
        <v>-212510.59914999999</v>
      </c>
      <c r="J86" s="2" t="s">
        <v>9</v>
      </c>
      <c r="K86" t="s">
        <v>13</v>
      </c>
      <c r="L86" t="s">
        <v>136</v>
      </c>
      <c r="M86" t="s">
        <v>371</v>
      </c>
    </row>
    <row r="87" spans="1:13">
      <c r="A87" s="14" t="s">
        <v>169</v>
      </c>
      <c r="B87" s="17">
        <v>0</v>
      </c>
      <c r="C87" s="17">
        <v>302981.609</v>
      </c>
      <c r="D87" s="17">
        <v>0</v>
      </c>
      <c r="E87" s="17">
        <v>97602.155610000002</v>
      </c>
      <c r="F87" s="17">
        <v>0</v>
      </c>
      <c r="G87" s="17">
        <v>400583.76461000001</v>
      </c>
      <c r="H87" s="25">
        <f t="shared" si="2"/>
        <v>-302981.609</v>
      </c>
      <c r="I87" s="5">
        <f t="shared" si="3"/>
        <v>-400583.76461000001</v>
      </c>
      <c r="J87" s="2" t="s">
        <v>9</v>
      </c>
      <c r="K87" t="s">
        <v>13</v>
      </c>
      <c r="L87" t="s">
        <v>137</v>
      </c>
      <c r="M87">
        <v>0</v>
      </c>
    </row>
    <row r="88" spans="1:13">
      <c r="A88" s="14" t="s">
        <v>171</v>
      </c>
      <c r="B88" s="17">
        <v>1167881.5949000001</v>
      </c>
      <c r="C88" s="17">
        <v>0</v>
      </c>
      <c r="D88" s="17">
        <v>0</v>
      </c>
      <c r="E88" s="17">
        <v>0</v>
      </c>
      <c r="F88" s="17">
        <v>1167881.5949000001</v>
      </c>
      <c r="G88" s="17">
        <v>0</v>
      </c>
      <c r="H88" s="25">
        <f t="shared" si="2"/>
        <v>1167881.5949000001</v>
      </c>
      <c r="I88" s="5">
        <f t="shared" si="3"/>
        <v>1167881.5949000001</v>
      </c>
      <c r="J88" s="2" t="s">
        <v>10</v>
      </c>
      <c r="K88" t="s">
        <v>13</v>
      </c>
      <c r="L88" t="s">
        <v>138</v>
      </c>
    </row>
    <row r="89" spans="1:13">
      <c r="A89" s="14" t="s">
        <v>174</v>
      </c>
      <c r="B89" s="17">
        <v>2252456.0866999999</v>
      </c>
      <c r="C89" s="17">
        <v>0</v>
      </c>
      <c r="D89" s="17">
        <v>12438252.766940001</v>
      </c>
      <c r="E89" s="17">
        <v>12959832.81728</v>
      </c>
      <c r="F89" s="17">
        <v>1730876.0363599998</v>
      </c>
      <c r="G89" s="17">
        <v>0</v>
      </c>
      <c r="H89" s="177">
        <f t="shared" si="2"/>
        <v>2252456.0866999999</v>
      </c>
      <c r="I89" s="5">
        <f t="shared" si="3"/>
        <v>1730876.0363599998</v>
      </c>
      <c r="J89" s="2" t="s">
        <v>21</v>
      </c>
      <c r="K89" t="s">
        <v>13</v>
      </c>
      <c r="L89" t="s">
        <v>139</v>
      </c>
      <c r="M89" t="s">
        <v>5</v>
      </c>
    </row>
    <row r="90" spans="1:13">
      <c r="A90" s="14" t="s">
        <v>175</v>
      </c>
      <c r="B90" s="17">
        <v>55826.798090000004</v>
      </c>
      <c r="C90" s="17">
        <v>0</v>
      </c>
      <c r="D90" s="17">
        <v>0</v>
      </c>
      <c r="E90" s="17">
        <v>0</v>
      </c>
      <c r="F90" s="17">
        <v>55826.798090000004</v>
      </c>
      <c r="G90" s="17">
        <v>0</v>
      </c>
      <c r="H90" s="177">
        <f t="shared" si="2"/>
        <v>55826.798090000004</v>
      </c>
      <c r="I90" s="5">
        <f t="shared" si="3"/>
        <v>55826.798090000004</v>
      </c>
      <c r="J90" s="2" t="s">
        <v>21</v>
      </c>
      <c r="K90" t="s">
        <v>13</v>
      </c>
      <c r="L90" t="s">
        <v>140</v>
      </c>
      <c r="M90">
        <v>0</v>
      </c>
    </row>
    <row r="91" spans="1:13">
      <c r="A91" s="14" t="s">
        <v>177</v>
      </c>
      <c r="B91" s="17">
        <v>0</v>
      </c>
      <c r="C91" s="17">
        <v>0</v>
      </c>
      <c r="D91" s="17">
        <v>2330.9891600000001</v>
      </c>
      <c r="E91" s="17">
        <v>0</v>
      </c>
      <c r="F91" s="17">
        <v>2330.9891600000001</v>
      </c>
      <c r="G91" s="17">
        <v>0</v>
      </c>
      <c r="H91" s="177">
        <f t="shared" si="2"/>
        <v>0</v>
      </c>
      <c r="I91" s="5">
        <f t="shared" si="3"/>
        <v>2330.9891600000001</v>
      </c>
      <c r="J91" s="2" t="s">
        <v>21</v>
      </c>
      <c r="K91" t="s">
        <v>13</v>
      </c>
      <c r="L91" t="s">
        <v>141</v>
      </c>
      <c r="M91" t="s">
        <v>378</v>
      </c>
    </row>
    <row r="92" spans="1:13">
      <c r="A92" s="14" t="s">
        <v>178</v>
      </c>
      <c r="B92" s="17">
        <v>279393.31735999999</v>
      </c>
      <c r="C92" s="17">
        <v>0</v>
      </c>
      <c r="D92" s="17">
        <v>19050.75288</v>
      </c>
      <c r="E92" s="17">
        <v>291970.36603999999</v>
      </c>
      <c r="F92" s="17">
        <v>6473.7042000000001</v>
      </c>
      <c r="G92" s="17">
        <v>0</v>
      </c>
      <c r="H92" s="25">
        <f t="shared" si="2"/>
        <v>279393.31735999999</v>
      </c>
      <c r="I92" s="5">
        <f t="shared" si="3"/>
        <v>6473.7042000000001</v>
      </c>
      <c r="J92" s="2" t="s">
        <v>7</v>
      </c>
      <c r="K92" t="s">
        <v>13</v>
      </c>
      <c r="L92" t="s">
        <v>142</v>
      </c>
    </row>
    <row r="93" spans="1:13">
      <c r="A93" s="14" t="s">
        <v>179</v>
      </c>
      <c r="B93" s="17">
        <v>1127424.81216</v>
      </c>
      <c r="C93" s="17">
        <v>0</v>
      </c>
      <c r="D93" s="17">
        <v>108021.26634999999</v>
      </c>
      <c r="E93" s="17">
        <v>1235446.0785100001</v>
      </c>
      <c r="F93" s="17">
        <v>0</v>
      </c>
      <c r="G93" s="17">
        <v>0</v>
      </c>
      <c r="H93" s="25">
        <f t="shared" si="2"/>
        <v>1127424.81216</v>
      </c>
      <c r="I93" s="5">
        <f t="shared" si="3"/>
        <v>0</v>
      </c>
      <c r="J93" s="2" t="s">
        <v>7</v>
      </c>
      <c r="K93" t="s">
        <v>13</v>
      </c>
      <c r="L93" t="s">
        <v>143</v>
      </c>
      <c r="M93" t="e">
        <v>#N/A</v>
      </c>
    </row>
    <row r="94" spans="1:13">
      <c r="A94" s="14" t="s">
        <v>180</v>
      </c>
      <c r="B94" s="17">
        <v>290851.26620000001</v>
      </c>
      <c r="C94" s="17">
        <v>0</v>
      </c>
      <c r="D94" s="17">
        <v>88171.563519999996</v>
      </c>
      <c r="E94" s="17">
        <v>321326.20887999999</v>
      </c>
      <c r="F94" s="17">
        <v>57696.620840000003</v>
      </c>
      <c r="G94" s="17">
        <v>0</v>
      </c>
      <c r="H94" s="25">
        <f t="shared" si="2"/>
        <v>290851.26620000001</v>
      </c>
      <c r="I94" s="5">
        <f t="shared" si="3"/>
        <v>57696.620840000003</v>
      </c>
      <c r="J94" s="2" t="s">
        <v>7</v>
      </c>
      <c r="K94" t="s">
        <v>13</v>
      </c>
      <c r="L94" t="s">
        <v>144</v>
      </c>
      <c r="M94" t="e">
        <v>#N/A</v>
      </c>
    </row>
    <row r="95" spans="1:13">
      <c r="A95" s="14" t="s">
        <v>182</v>
      </c>
      <c r="B95" s="17">
        <v>12270.00893</v>
      </c>
      <c r="C95" s="17">
        <v>0</v>
      </c>
      <c r="D95" s="17">
        <v>0</v>
      </c>
      <c r="E95" s="17">
        <v>6149.00893</v>
      </c>
      <c r="F95" s="17">
        <v>6121</v>
      </c>
      <c r="G95" s="17">
        <v>0</v>
      </c>
      <c r="H95" s="25">
        <f t="shared" si="2"/>
        <v>12270.00893</v>
      </c>
      <c r="I95" s="5">
        <f t="shared" si="3"/>
        <v>6121</v>
      </c>
      <c r="J95" s="2" t="s">
        <v>7</v>
      </c>
      <c r="K95" t="s">
        <v>13</v>
      </c>
      <c r="L95" t="s">
        <v>145</v>
      </c>
    </row>
    <row r="96" spans="1:13">
      <c r="A96" s="14" t="s">
        <v>183</v>
      </c>
      <c r="B96" s="17">
        <v>108157.19965000001</v>
      </c>
      <c r="C96" s="17">
        <v>0</v>
      </c>
      <c r="D96" s="17">
        <v>373840.92927999998</v>
      </c>
      <c r="E96" s="17">
        <v>414841.07964999997</v>
      </c>
      <c r="F96" s="17">
        <v>67157.049280000007</v>
      </c>
      <c r="G96" s="17">
        <v>0</v>
      </c>
      <c r="H96" s="25">
        <f t="shared" si="2"/>
        <v>108157.19965000001</v>
      </c>
      <c r="I96" s="5">
        <f t="shared" si="3"/>
        <v>67157.049280000007</v>
      </c>
      <c r="J96" s="2" t="s">
        <v>7</v>
      </c>
      <c r="K96" t="s">
        <v>13</v>
      </c>
      <c r="L96" t="s">
        <v>146</v>
      </c>
    </row>
    <row r="97" spans="1:13">
      <c r="A97" s="14" t="s">
        <v>184</v>
      </c>
      <c r="B97" s="17">
        <v>202170.02668000001</v>
      </c>
      <c r="C97" s="17">
        <v>0</v>
      </c>
      <c r="D97" s="17">
        <v>0</v>
      </c>
      <c r="E97" s="17">
        <v>0</v>
      </c>
      <c r="F97" s="17">
        <v>202170.02668000001</v>
      </c>
      <c r="G97" s="17">
        <v>0</v>
      </c>
      <c r="H97" s="25">
        <f t="shared" si="2"/>
        <v>202170.02668000001</v>
      </c>
      <c r="I97" s="5">
        <f t="shared" si="3"/>
        <v>202170.02668000001</v>
      </c>
      <c r="J97" s="2" t="s">
        <v>7</v>
      </c>
      <c r="K97" t="s">
        <v>13</v>
      </c>
      <c r="L97" t="s">
        <v>147</v>
      </c>
      <c r="M97" t="s">
        <v>0</v>
      </c>
    </row>
    <row r="98" spans="1:13">
      <c r="A98" s="14" t="s">
        <v>185</v>
      </c>
      <c r="B98" s="17">
        <v>101880.64525</v>
      </c>
      <c r="C98" s="17">
        <v>0</v>
      </c>
      <c r="D98" s="17">
        <v>82823.318650000001</v>
      </c>
      <c r="E98" s="17">
        <v>116134.16683</v>
      </c>
      <c r="F98" s="17">
        <v>68569.797069999986</v>
      </c>
      <c r="G98" s="17">
        <v>0</v>
      </c>
      <c r="H98" s="25">
        <f t="shared" si="2"/>
        <v>101880.64525</v>
      </c>
      <c r="I98" s="5">
        <f t="shared" si="3"/>
        <v>68569.797069999986</v>
      </c>
      <c r="J98" s="2" t="s">
        <v>7</v>
      </c>
      <c r="K98" t="s">
        <v>13</v>
      </c>
      <c r="L98" t="s">
        <v>148</v>
      </c>
      <c r="M98" t="s">
        <v>0</v>
      </c>
    </row>
    <row r="99" spans="1:13">
      <c r="A99" s="14" t="s">
        <v>186</v>
      </c>
      <c r="B99" s="17">
        <v>40.427120000000002</v>
      </c>
      <c r="C99" s="17">
        <v>0</v>
      </c>
      <c r="D99" s="17">
        <v>780.09229000000005</v>
      </c>
      <c r="E99" s="17">
        <v>820.43254999999999</v>
      </c>
      <c r="F99" s="17">
        <v>8.6859999999999993E-2</v>
      </c>
      <c r="G99" s="17">
        <v>0</v>
      </c>
      <c r="H99" s="25">
        <f t="shared" si="2"/>
        <v>40.427120000000002</v>
      </c>
      <c r="I99" s="5">
        <f t="shared" si="3"/>
        <v>8.6859999999999993E-2</v>
      </c>
      <c r="J99" s="2" t="s">
        <v>7</v>
      </c>
      <c r="K99" t="s">
        <v>13</v>
      </c>
      <c r="L99" t="s">
        <v>149</v>
      </c>
      <c r="M99" t="s">
        <v>0</v>
      </c>
    </row>
    <row r="100" spans="1:13">
      <c r="A100" s="14" t="s">
        <v>187</v>
      </c>
      <c r="B100" s="17">
        <v>22732.577859999998</v>
      </c>
      <c r="C100" s="17">
        <v>0</v>
      </c>
      <c r="D100" s="17">
        <v>116723.95836</v>
      </c>
      <c r="E100" s="17">
        <v>122853.34239000001</v>
      </c>
      <c r="F100" s="17">
        <v>16603.19383</v>
      </c>
      <c r="G100" s="17">
        <v>0</v>
      </c>
      <c r="H100" s="25">
        <f t="shared" si="2"/>
        <v>22732.577859999998</v>
      </c>
      <c r="I100" s="5">
        <f t="shared" si="3"/>
        <v>16603.19383</v>
      </c>
      <c r="J100" s="2" t="s">
        <v>7</v>
      </c>
      <c r="K100" t="s">
        <v>13</v>
      </c>
      <c r="L100" t="s">
        <v>150</v>
      </c>
      <c r="M100" t="s">
        <v>0</v>
      </c>
    </row>
    <row r="101" spans="1:13">
      <c r="A101" s="14" t="s">
        <v>189</v>
      </c>
      <c r="B101" s="17">
        <v>1477293.9709600001</v>
      </c>
      <c r="C101" s="17">
        <v>0</v>
      </c>
      <c r="D101" s="17">
        <v>518704.76817</v>
      </c>
      <c r="E101" s="17">
        <v>157744.73392</v>
      </c>
      <c r="F101" s="17">
        <v>1838254.0052099999</v>
      </c>
      <c r="G101" s="17">
        <v>0</v>
      </c>
      <c r="H101" s="25">
        <f t="shared" si="2"/>
        <v>1477293.9709600001</v>
      </c>
      <c r="I101" s="5">
        <f t="shared" si="3"/>
        <v>1838254.0052099999</v>
      </c>
      <c r="J101" s="2" t="s">
        <v>7</v>
      </c>
      <c r="K101" t="s">
        <v>13</v>
      </c>
      <c r="L101" t="s">
        <v>151</v>
      </c>
      <c r="M101" t="s">
        <v>0</v>
      </c>
    </row>
    <row r="102" spans="1:13">
      <c r="A102" s="14" t="s">
        <v>190</v>
      </c>
      <c r="B102" s="17">
        <v>546291.13494000002</v>
      </c>
      <c r="C102" s="17">
        <v>0</v>
      </c>
      <c r="D102" s="17">
        <v>841475.65135000006</v>
      </c>
      <c r="E102" s="17">
        <v>634900.31523000007</v>
      </c>
      <c r="F102" s="17">
        <v>752866.47105999989</v>
      </c>
      <c r="G102" s="17">
        <v>0</v>
      </c>
      <c r="H102" s="25">
        <f t="shared" si="2"/>
        <v>546291.13494000002</v>
      </c>
      <c r="I102" s="5">
        <f t="shared" si="3"/>
        <v>752866.47105999989</v>
      </c>
      <c r="J102" s="2" t="s">
        <v>7</v>
      </c>
      <c r="K102" t="s">
        <v>13</v>
      </c>
      <c r="L102" t="s">
        <v>152</v>
      </c>
      <c r="M102" t="s">
        <v>0</v>
      </c>
    </row>
    <row r="103" spans="1:13">
      <c r="A103" s="14" t="s">
        <v>191</v>
      </c>
      <c r="B103" s="17">
        <v>4451973.7198200002</v>
      </c>
      <c r="C103" s="17">
        <v>0</v>
      </c>
      <c r="D103" s="17">
        <v>3795488.94716</v>
      </c>
      <c r="E103" s="17">
        <v>964529.46039000002</v>
      </c>
      <c r="F103" s="17">
        <v>7282933.2065900005</v>
      </c>
      <c r="G103" s="17">
        <v>0</v>
      </c>
      <c r="H103" s="25">
        <f t="shared" si="2"/>
        <v>4451973.7198200002</v>
      </c>
      <c r="I103" s="5">
        <f t="shared" si="3"/>
        <v>7282933.2065900005</v>
      </c>
      <c r="J103" s="2" t="s">
        <v>7</v>
      </c>
      <c r="K103" t="s">
        <v>13</v>
      </c>
      <c r="L103" t="s">
        <v>153</v>
      </c>
      <c r="M103" t="s">
        <v>0</v>
      </c>
    </row>
    <row r="104" spans="1:13">
      <c r="A104" s="14" t="s">
        <v>192</v>
      </c>
      <c r="B104" s="17">
        <v>2170082.4967199997</v>
      </c>
      <c r="C104" s="17">
        <v>0</v>
      </c>
      <c r="D104" s="17">
        <v>505371.33581999998</v>
      </c>
      <c r="E104" s="17">
        <v>13707.20379</v>
      </c>
      <c r="F104" s="17">
        <v>2661746.6287500001</v>
      </c>
      <c r="G104" s="17">
        <v>0</v>
      </c>
      <c r="H104" s="25">
        <f t="shared" si="2"/>
        <v>2170082.4967199997</v>
      </c>
      <c r="I104" s="5">
        <f t="shared" si="3"/>
        <v>2661746.6287500001</v>
      </c>
      <c r="J104" s="2" t="s">
        <v>7</v>
      </c>
      <c r="K104" t="s">
        <v>13</v>
      </c>
      <c r="L104" t="s">
        <v>154</v>
      </c>
      <c r="M104" t="s">
        <v>1</v>
      </c>
    </row>
    <row r="105" spans="1:13">
      <c r="A105" s="14" t="s">
        <v>193</v>
      </c>
      <c r="B105" s="17">
        <v>545224.57682000007</v>
      </c>
      <c r="C105" s="17">
        <v>0</v>
      </c>
      <c r="D105" s="17">
        <v>750347.04246000003</v>
      </c>
      <c r="E105" s="17">
        <v>587357.56004999997</v>
      </c>
      <c r="F105" s="17">
        <v>708214.05923000001</v>
      </c>
      <c r="G105" s="17">
        <v>0</v>
      </c>
      <c r="H105" s="25">
        <f t="shared" si="2"/>
        <v>545224.57682000007</v>
      </c>
      <c r="I105" s="5">
        <f t="shared" si="3"/>
        <v>708214.05923000001</v>
      </c>
      <c r="J105" s="2" t="s">
        <v>7</v>
      </c>
      <c r="K105" t="s">
        <v>13</v>
      </c>
      <c r="L105" t="s">
        <v>155</v>
      </c>
    </row>
    <row r="106" spans="1:13">
      <c r="A106" s="14" t="s">
        <v>194</v>
      </c>
      <c r="B106" s="17">
        <v>3851761.2912399997</v>
      </c>
      <c r="C106" s="17">
        <v>0</v>
      </c>
      <c r="D106" s="17">
        <v>12339883.088989999</v>
      </c>
      <c r="E106" s="17">
        <v>14274192.615080003</v>
      </c>
      <c r="F106" s="17">
        <v>1917451.7651500001</v>
      </c>
      <c r="G106" s="17">
        <v>0</v>
      </c>
      <c r="H106" s="25">
        <f t="shared" si="2"/>
        <v>3851761.2912399997</v>
      </c>
      <c r="I106" s="5">
        <f t="shared" si="3"/>
        <v>1917451.7651500001</v>
      </c>
      <c r="J106" s="2" t="s">
        <v>7</v>
      </c>
      <c r="K106" t="s">
        <v>13</v>
      </c>
      <c r="L106" t="s">
        <v>156</v>
      </c>
      <c r="M106" t="s">
        <v>0</v>
      </c>
    </row>
    <row r="107" spans="1:13">
      <c r="A107" s="14" t="s">
        <v>195</v>
      </c>
      <c r="B107" s="17">
        <v>2072.5536299999999</v>
      </c>
      <c r="C107" s="17">
        <v>0</v>
      </c>
      <c r="D107" s="17">
        <v>225462.23603999999</v>
      </c>
      <c r="E107" s="17">
        <v>182048.66881</v>
      </c>
      <c r="F107" s="17">
        <v>45486.120860000003</v>
      </c>
      <c r="G107" s="17">
        <v>0</v>
      </c>
      <c r="H107" s="25">
        <f t="shared" si="2"/>
        <v>2072.5536299999999</v>
      </c>
      <c r="I107" s="5">
        <f t="shared" si="3"/>
        <v>45486.120860000003</v>
      </c>
      <c r="J107" s="2" t="s">
        <v>7</v>
      </c>
      <c r="K107" t="s">
        <v>13</v>
      </c>
      <c r="L107" t="s">
        <v>157</v>
      </c>
      <c r="M107" t="s">
        <v>0</v>
      </c>
    </row>
    <row r="108" spans="1:13">
      <c r="A108" s="14" t="s">
        <v>196</v>
      </c>
      <c r="B108" s="17">
        <v>436902.13062000001</v>
      </c>
      <c r="C108" s="17">
        <v>0</v>
      </c>
      <c r="D108" s="17">
        <v>1834183.7132999999</v>
      </c>
      <c r="E108" s="17">
        <v>690357.98190000001</v>
      </c>
      <c r="F108" s="17">
        <v>1580727.8620199999</v>
      </c>
      <c r="G108" s="17">
        <v>0</v>
      </c>
      <c r="H108" s="25">
        <f t="shared" si="2"/>
        <v>436902.13062000001</v>
      </c>
      <c r="I108" s="5">
        <f t="shared" si="3"/>
        <v>1580727.8620199999</v>
      </c>
      <c r="J108" s="2" t="s">
        <v>7</v>
      </c>
      <c r="K108" t="s">
        <v>13</v>
      </c>
      <c r="L108" t="s">
        <v>158</v>
      </c>
      <c r="M108" t="s">
        <v>0</v>
      </c>
    </row>
    <row r="109" spans="1:13">
      <c r="A109" s="14" t="s">
        <v>198</v>
      </c>
      <c r="B109" s="17">
        <v>0</v>
      </c>
      <c r="C109" s="17">
        <v>26053280.002049997</v>
      </c>
      <c r="D109" s="17">
        <v>33044916.586179998</v>
      </c>
      <c r="E109" s="17">
        <v>16536974.98064</v>
      </c>
      <c r="F109" s="17">
        <v>0</v>
      </c>
      <c r="G109" s="17">
        <v>9545338.3965099975</v>
      </c>
      <c r="H109" s="25">
        <f t="shared" ref="H109:H152" si="4">B109-C109</f>
        <v>-26053280.002049997</v>
      </c>
      <c r="I109" s="5">
        <f t="shared" ref="I109:I152" si="5">F109-G109</f>
        <v>-9545338.3965099975</v>
      </c>
      <c r="J109" t="s">
        <v>37</v>
      </c>
      <c r="K109" t="s">
        <v>339</v>
      </c>
      <c r="L109" t="s">
        <v>159</v>
      </c>
      <c r="M109" t="s">
        <v>0</v>
      </c>
    </row>
    <row r="110" spans="1:13">
      <c r="A110" s="14" t="s">
        <v>199</v>
      </c>
      <c r="B110" s="17">
        <v>0</v>
      </c>
      <c r="C110" s="17">
        <v>0</v>
      </c>
      <c r="D110" s="17">
        <v>2413054.6058299998</v>
      </c>
      <c r="E110" s="17">
        <v>2451107.0877899998</v>
      </c>
      <c r="F110" s="17">
        <v>0</v>
      </c>
      <c r="G110" s="17">
        <v>38052.481959999997</v>
      </c>
      <c r="H110" s="25">
        <f t="shared" si="4"/>
        <v>0</v>
      </c>
      <c r="I110" s="5">
        <f t="shared" si="5"/>
        <v>-38052.481959999997</v>
      </c>
      <c r="J110" t="s">
        <v>37</v>
      </c>
      <c r="K110" t="s">
        <v>339</v>
      </c>
      <c r="L110" t="s">
        <v>160</v>
      </c>
      <c r="M110" t="s">
        <v>0</v>
      </c>
    </row>
    <row r="111" spans="1:13">
      <c r="A111" s="14" t="s">
        <v>201</v>
      </c>
      <c r="B111" s="17">
        <v>0</v>
      </c>
      <c r="C111" s="17">
        <v>64621.627520000002</v>
      </c>
      <c r="D111" s="17">
        <v>23009.728090000001</v>
      </c>
      <c r="E111" s="17">
        <v>0</v>
      </c>
      <c r="F111" s="17">
        <v>0</v>
      </c>
      <c r="G111" s="17">
        <v>41611.899429999998</v>
      </c>
      <c r="H111" s="25">
        <f t="shared" si="4"/>
        <v>-64621.627520000002</v>
      </c>
      <c r="I111" s="5">
        <f t="shared" si="5"/>
        <v>-41611.899429999998</v>
      </c>
      <c r="J111" t="s">
        <v>37</v>
      </c>
      <c r="K111" t="s">
        <v>339</v>
      </c>
      <c r="L111" t="s">
        <v>161</v>
      </c>
      <c r="M111" t="s">
        <v>0</v>
      </c>
    </row>
    <row r="112" spans="1:13">
      <c r="A112" s="14" t="s">
        <v>203</v>
      </c>
      <c r="B112" s="17">
        <v>0</v>
      </c>
      <c r="C112" s="17">
        <v>0</v>
      </c>
      <c r="D112" s="17">
        <v>70905.459000000003</v>
      </c>
      <c r="E112" s="17">
        <v>70905.459000000003</v>
      </c>
      <c r="F112" s="17">
        <v>0</v>
      </c>
      <c r="G112" s="17">
        <v>0</v>
      </c>
      <c r="H112" s="25">
        <f t="shared" si="4"/>
        <v>0</v>
      </c>
      <c r="I112" s="5">
        <f t="shared" si="5"/>
        <v>0</v>
      </c>
      <c r="J112" s="5">
        <v>0</v>
      </c>
      <c r="K112" t="s">
        <v>339</v>
      </c>
      <c r="L112" t="s">
        <v>162</v>
      </c>
      <c r="M112" t="s">
        <v>1</v>
      </c>
    </row>
    <row r="113" spans="1:13">
      <c r="A113" s="14" t="s">
        <v>204</v>
      </c>
      <c r="B113" s="17">
        <v>0</v>
      </c>
      <c r="C113" s="17">
        <v>70533.758879999994</v>
      </c>
      <c r="D113" s="17">
        <v>878448.36014999996</v>
      </c>
      <c r="E113" s="17">
        <v>901241.00004999992</v>
      </c>
      <c r="F113" s="17">
        <v>0</v>
      </c>
      <c r="G113" s="17">
        <v>93326.398780000003</v>
      </c>
      <c r="H113" s="25">
        <f t="shared" si="4"/>
        <v>-70533.758879999994</v>
      </c>
      <c r="I113" s="5">
        <f t="shared" si="5"/>
        <v>-93326.398780000003</v>
      </c>
      <c r="J113" s="2" t="s">
        <v>38</v>
      </c>
      <c r="K113" t="s">
        <v>339</v>
      </c>
      <c r="L113" t="s">
        <v>163</v>
      </c>
    </row>
    <row r="114" spans="1:13">
      <c r="A114" s="14" t="s">
        <v>205</v>
      </c>
      <c r="B114" s="17">
        <v>0</v>
      </c>
      <c r="C114" s="17">
        <v>194291.28808000003</v>
      </c>
      <c r="D114" s="17">
        <v>3055338.0209799996</v>
      </c>
      <c r="E114" s="17">
        <v>3881985.84173</v>
      </c>
      <c r="F114" s="17">
        <v>0</v>
      </c>
      <c r="G114" s="17">
        <v>1020939.10883</v>
      </c>
      <c r="H114" s="25">
        <f t="shared" si="4"/>
        <v>-194291.28808000003</v>
      </c>
      <c r="I114" s="5">
        <f t="shared" si="5"/>
        <v>-1020939.10883</v>
      </c>
      <c r="J114" s="2" t="s">
        <v>38</v>
      </c>
      <c r="K114" t="s">
        <v>339</v>
      </c>
      <c r="L114" t="s">
        <v>164</v>
      </c>
    </row>
    <row r="115" spans="1:13">
      <c r="A115" s="14" t="s">
        <v>206</v>
      </c>
      <c r="B115" s="17">
        <v>0</v>
      </c>
      <c r="C115" s="17">
        <v>1.2295099999999999</v>
      </c>
      <c r="D115" s="17">
        <v>0</v>
      </c>
      <c r="E115" s="17">
        <v>0</v>
      </c>
      <c r="F115" s="17">
        <v>0</v>
      </c>
      <c r="G115" s="17">
        <v>1.2295099999999999</v>
      </c>
      <c r="H115" s="25">
        <f t="shared" si="4"/>
        <v>-1.2295099999999999</v>
      </c>
      <c r="I115" s="5">
        <f t="shared" si="5"/>
        <v>-1.2295099999999999</v>
      </c>
      <c r="J115" s="2" t="s">
        <v>38</v>
      </c>
      <c r="K115" t="s">
        <v>339</v>
      </c>
      <c r="L115" t="s">
        <v>165</v>
      </c>
      <c r="M115" t="s">
        <v>2</v>
      </c>
    </row>
    <row r="116" spans="1:13">
      <c r="A116" s="513" t="s">
        <v>207</v>
      </c>
      <c r="B116" s="514">
        <v>0</v>
      </c>
      <c r="C116" s="514">
        <v>49956.797130000006</v>
      </c>
      <c r="D116" s="514">
        <v>697390.16905999999</v>
      </c>
      <c r="E116" s="514">
        <v>721057.48895999999</v>
      </c>
      <c r="F116" s="514">
        <v>0</v>
      </c>
      <c r="G116" s="514">
        <v>73624.117029999994</v>
      </c>
      <c r="H116" s="25">
        <f t="shared" si="4"/>
        <v>-49956.797130000006</v>
      </c>
      <c r="I116" s="5">
        <f t="shared" si="5"/>
        <v>-73624.117029999994</v>
      </c>
      <c r="J116" s="2" t="s">
        <v>38</v>
      </c>
      <c r="K116" t="s">
        <v>339</v>
      </c>
      <c r="L116" t="s">
        <v>166</v>
      </c>
      <c r="M116" t="s">
        <v>2</v>
      </c>
    </row>
    <row r="117" spans="1:13">
      <c r="A117" s="513" t="s">
        <v>208</v>
      </c>
      <c r="B117" s="514">
        <v>0</v>
      </c>
      <c r="C117" s="514">
        <v>37.085000000000001</v>
      </c>
      <c r="D117" s="514">
        <v>1489.7909999999999</v>
      </c>
      <c r="E117" s="514">
        <v>1452.7059999999999</v>
      </c>
      <c r="F117" s="514">
        <v>0</v>
      </c>
      <c r="G117" s="514">
        <v>0</v>
      </c>
      <c r="H117" s="25">
        <f t="shared" si="4"/>
        <v>-37.085000000000001</v>
      </c>
      <c r="I117" s="5">
        <f t="shared" si="5"/>
        <v>0</v>
      </c>
      <c r="J117" s="2" t="s">
        <v>38</v>
      </c>
      <c r="K117" t="s">
        <v>339</v>
      </c>
      <c r="L117" t="s">
        <v>167</v>
      </c>
    </row>
    <row r="118" spans="1:13">
      <c r="A118" s="212" t="s">
        <v>209</v>
      </c>
      <c r="B118" s="515">
        <v>0</v>
      </c>
      <c r="C118" s="515">
        <v>22.006</v>
      </c>
      <c r="D118" s="515">
        <v>8911.2078299999994</v>
      </c>
      <c r="E118" s="515">
        <v>8909.9169999999995</v>
      </c>
      <c r="F118" s="515">
        <v>0</v>
      </c>
      <c r="G118" s="515">
        <v>20.715169999999997</v>
      </c>
      <c r="H118" s="25">
        <f t="shared" si="4"/>
        <v>-22.006</v>
      </c>
      <c r="I118" s="5">
        <f t="shared" si="5"/>
        <v>-20.715169999999997</v>
      </c>
      <c r="J118" s="2" t="s">
        <v>38</v>
      </c>
      <c r="K118" t="s">
        <v>339</v>
      </c>
      <c r="L118" t="s">
        <v>168</v>
      </c>
      <c r="M118" t="s">
        <v>2</v>
      </c>
    </row>
    <row r="119" spans="1:13">
      <c r="A119" s="513" t="s">
        <v>210</v>
      </c>
      <c r="B119" s="514">
        <v>0</v>
      </c>
      <c r="C119" s="514">
        <v>6006.6302300000007</v>
      </c>
      <c r="D119" s="514">
        <v>234735.25246000002</v>
      </c>
      <c r="E119" s="514">
        <v>229660.01277</v>
      </c>
      <c r="F119" s="514">
        <v>0</v>
      </c>
      <c r="G119" s="514">
        <v>931.39053999999999</v>
      </c>
      <c r="H119" s="25">
        <f t="shared" si="4"/>
        <v>-6006.6302300000007</v>
      </c>
      <c r="I119" s="5">
        <f t="shared" si="5"/>
        <v>-931.39053999999999</v>
      </c>
      <c r="J119" s="2" t="s">
        <v>38</v>
      </c>
      <c r="K119" t="s">
        <v>339</v>
      </c>
      <c r="L119" t="s">
        <v>169</v>
      </c>
      <c r="M119" t="s">
        <v>2</v>
      </c>
    </row>
    <row r="120" spans="1:13">
      <c r="A120" s="14" t="s">
        <v>212</v>
      </c>
      <c r="B120" s="17">
        <v>0</v>
      </c>
      <c r="C120" s="17">
        <v>51885.58771</v>
      </c>
      <c r="D120" s="17">
        <v>391915.78525999998</v>
      </c>
      <c r="E120" s="17">
        <v>373866.99455</v>
      </c>
      <c r="F120" s="17">
        <v>0</v>
      </c>
      <c r="G120" s="17">
        <v>33836.796999999999</v>
      </c>
      <c r="H120" s="25">
        <f t="shared" si="4"/>
        <v>-51885.58771</v>
      </c>
      <c r="I120" s="5">
        <f t="shared" si="5"/>
        <v>-33836.796999999999</v>
      </c>
      <c r="J120" s="2" t="s">
        <v>38</v>
      </c>
      <c r="K120" t="s">
        <v>339</v>
      </c>
      <c r="L120" t="s">
        <v>170</v>
      </c>
    </row>
    <row r="121" spans="1:13">
      <c r="A121" s="513" t="s">
        <v>213</v>
      </c>
      <c r="B121" s="514">
        <v>0</v>
      </c>
      <c r="C121" s="514">
        <v>2937233.0507399999</v>
      </c>
      <c r="D121" s="514">
        <v>14323387.948930001</v>
      </c>
      <c r="E121" s="514">
        <v>15724534.199390002</v>
      </c>
      <c r="F121" s="514">
        <v>0</v>
      </c>
      <c r="G121" s="514">
        <v>4338379.3011999996</v>
      </c>
      <c r="H121" s="25">
        <f t="shared" si="4"/>
        <v>-2937233.0507399999</v>
      </c>
      <c r="I121" s="5">
        <f t="shared" si="5"/>
        <v>-4338379.3011999996</v>
      </c>
      <c r="J121" s="2" t="s">
        <v>38</v>
      </c>
      <c r="K121" t="s">
        <v>339</v>
      </c>
      <c r="L121" t="s">
        <v>171</v>
      </c>
      <c r="M121" t="s">
        <v>4</v>
      </c>
    </row>
    <row r="122" spans="1:13">
      <c r="A122" s="513" t="s">
        <v>215</v>
      </c>
      <c r="B122" s="514">
        <v>0</v>
      </c>
      <c r="C122" s="514">
        <v>31810.77018</v>
      </c>
      <c r="D122" s="514">
        <v>300979.34551999997</v>
      </c>
      <c r="E122" s="514">
        <v>296372.63702999998</v>
      </c>
      <c r="F122" s="514">
        <v>0</v>
      </c>
      <c r="G122" s="514">
        <v>27204.061690000002</v>
      </c>
      <c r="H122" s="25">
        <f t="shared" si="4"/>
        <v>-31810.77018</v>
      </c>
      <c r="I122" s="5">
        <f t="shared" si="5"/>
        <v>-27204.061690000002</v>
      </c>
      <c r="J122" s="2" t="s">
        <v>38</v>
      </c>
      <c r="K122" t="s">
        <v>339</v>
      </c>
      <c r="L122" t="s">
        <v>172</v>
      </c>
    </row>
    <row r="123" spans="1:13">
      <c r="A123" s="14" t="s">
        <v>216</v>
      </c>
      <c r="B123" s="17">
        <v>0</v>
      </c>
      <c r="C123" s="17">
        <v>82538.570919999998</v>
      </c>
      <c r="D123" s="17">
        <v>1085181.1410600001</v>
      </c>
      <c r="E123" s="17">
        <v>1106304.86421</v>
      </c>
      <c r="F123" s="17">
        <v>0</v>
      </c>
      <c r="G123" s="17">
        <v>103662.29406999999</v>
      </c>
      <c r="H123" s="25">
        <f t="shared" si="4"/>
        <v>-82538.570919999998</v>
      </c>
      <c r="I123" s="5">
        <f t="shared" si="5"/>
        <v>-103662.29406999999</v>
      </c>
      <c r="J123" s="2" t="s">
        <v>38</v>
      </c>
      <c r="K123" t="s">
        <v>339</v>
      </c>
      <c r="L123" t="s">
        <v>173</v>
      </c>
    </row>
    <row r="124" spans="1:13">
      <c r="A124" s="14" t="s">
        <v>217</v>
      </c>
      <c r="B124" s="17">
        <v>0</v>
      </c>
      <c r="C124" s="17">
        <v>30874.49595</v>
      </c>
      <c r="D124" s="17">
        <v>377809.69763999997</v>
      </c>
      <c r="E124" s="17">
        <v>378382.42999000003</v>
      </c>
      <c r="F124" s="17">
        <v>0</v>
      </c>
      <c r="G124" s="17">
        <v>31447.228300000002</v>
      </c>
      <c r="H124" s="25">
        <f t="shared" si="4"/>
        <v>-30874.49595</v>
      </c>
      <c r="I124" s="5">
        <f t="shared" si="5"/>
        <v>-31447.228300000002</v>
      </c>
      <c r="J124" s="2" t="s">
        <v>38</v>
      </c>
      <c r="K124" t="s">
        <v>339</v>
      </c>
      <c r="L124" t="s">
        <v>174</v>
      </c>
      <c r="M124" t="s">
        <v>5</v>
      </c>
    </row>
    <row r="125" spans="1:13">
      <c r="A125" s="14" t="s">
        <v>219</v>
      </c>
      <c r="B125" s="17">
        <v>0</v>
      </c>
      <c r="C125" s="17">
        <v>6837.9378200000001</v>
      </c>
      <c r="D125" s="17">
        <v>140251.98548</v>
      </c>
      <c r="E125" s="17">
        <v>146207.32535</v>
      </c>
      <c r="F125" s="17">
        <v>0</v>
      </c>
      <c r="G125" s="17">
        <v>12793.277689999999</v>
      </c>
      <c r="H125" s="25">
        <f t="shared" si="4"/>
        <v>-6837.9378200000001</v>
      </c>
      <c r="I125" s="5">
        <f t="shared" si="5"/>
        <v>-12793.277689999999</v>
      </c>
      <c r="J125" s="2" t="s">
        <v>38</v>
      </c>
      <c r="K125" t="s">
        <v>339</v>
      </c>
      <c r="L125" t="s">
        <v>175</v>
      </c>
      <c r="M125" t="s">
        <v>5</v>
      </c>
    </row>
    <row r="126" spans="1:13">
      <c r="A126" s="14" t="s">
        <v>220</v>
      </c>
      <c r="B126" s="17">
        <v>0</v>
      </c>
      <c r="C126" s="17">
        <v>2.2690000000000001</v>
      </c>
      <c r="D126" s="17">
        <v>0</v>
      </c>
      <c r="E126" s="17">
        <v>0</v>
      </c>
      <c r="F126" s="17">
        <v>0</v>
      </c>
      <c r="G126" s="17">
        <v>2.2690000000000001</v>
      </c>
      <c r="H126" s="25">
        <f t="shared" si="4"/>
        <v>-2.2690000000000001</v>
      </c>
      <c r="I126" s="5">
        <f t="shared" si="5"/>
        <v>-2.2690000000000001</v>
      </c>
      <c r="J126" s="2" t="s">
        <v>38</v>
      </c>
      <c r="K126" t="s">
        <v>339</v>
      </c>
      <c r="L126" t="s">
        <v>176</v>
      </c>
    </row>
    <row r="127" spans="1:13">
      <c r="A127" s="14" t="s">
        <v>223</v>
      </c>
      <c r="B127" s="17">
        <v>0</v>
      </c>
      <c r="C127" s="17">
        <v>3261478.4320799997</v>
      </c>
      <c r="D127" s="17">
        <v>15759536.65632</v>
      </c>
      <c r="E127" s="17">
        <v>16563803.640970001</v>
      </c>
      <c r="F127" s="17">
        <v>0</v>
      </c>
      <c r="G127" s="17">
        <v>4065745.4167300002</v>
      </c>
      <c r="H127" s="25">
        <f t="shared" si="4"/>
        <v>-3261478.4320799997</v>
      </c>
      <c r="I127" s="5">
        <f t="shared" si="5"/>
        <v>-4065745.4167300002</v>
      </c>
      <c r="J127" s="2" t="s">
        <v>38</v>
      </c>
      <c r="K127" t="s">
        <v>339</v>
      </c>
      <c r="L127" t="s">
        <v>177</v>
      </c>
      <c r="M127" t="s">
        <v>5</v>
      </c>
    </row>
    <row r="128" spans="1:13">
      <c r="A128" s="14" t="s">
        <v>224</v>
      </c>
      <c r="B128" s="17">
        <v>0</v>
      </c>
      <c r="C128" s="17">
        <v>4316487.2414499996</v>
      </c>
      <c r="D128" s="17">
        <v>10420128.59424</v>
      </c>
      <c r="E128" s="17">
        <v>8815183.0967099983</v>
      </c>
      <c r="F128" s="17">
        <v>0</v>
      </c>
      <c r="G128" s="17">
        <v>2711541.7439200003</v>
      </c>
      <c r="H128" s="25">
        <f t="shared" si="4"/>
        <v>-4316487.2414499996</v>
      </c>
      <c r="I128" s="5">
        <f t="shared" si="5"/>
        <v>-2711541.7439200003</v>
      </c>
      <c r="J128" s="2" t="s">
        <v>38</v>
      </c>
      <c r="K128" t="s">
        <v>339</v>
      </c>
      <c r="L128" t="s">
        <v>178</v>
      </c>
      <c r="M128" t="s">
        <v>0</v>
      </c>
    </row>
    <row r="129" spans="1:13">
      <c r="A129" s="14" t="s">
        <v>225</v>
      </c>
      <c r="B129" s="17">
        <v>0</v>
      </c>
      <c r="C129" s="17">
        <v>5459.7571600000001</v>
      </c>
      <c r="D129" s="17">
        <v>1394385.6124200001</v>
      </c>
      <c r="E129" s="17">
        <v>1768792.1182899999</v>
      </c>
      <c r="F129" s="17">
        <v>0</v>
      </c>
      <c r="G129" s="17">
        <v>379866.26302999997</v>
      </c>
      <c r="H129" s="25">
        <f t="shared" si="4"/>
        <v>-5459.7571600000001</v>
      </c>
      <c r="I129" s="5">
        <f t="shared" si="5"/>
        <v>-379866.26302999997</v>
      </c>
      <c r="J129" s="2" t="s">
        <v>38</v>
      </c>
      <c r="K129" t="s">
        <v>339</v>
      </c>
      <c r="L129" t="s">
        <v>179</v>
      </c>
      <c r="M129" t="s">
        <v>0</v>
      </c>
    </row>
    <row r="130" spans="1:13">
      <c r="A130" s="14" t="s">
        <v>226</v>
      </c>
      <c r="B130" s="17">
        <v>0</v>
      </c>
      <c r="C130" s="17">
        <v>521571.83944999997</v>
      </c>
      <c r="D130" s="17">
        <v>11489161.54692</v>
      </c>
      <c r="E130" s="17">
        <v>11626961.812280001</v>
      </c>
      <c r="F130" s="17">
        <v>0</v>
      </c>
      <c r="G130" s="17">
        <v>659372.10480999993</v>
      </c>
      <c r="H130" s="25">
        <f t="shared" si="4"/>
        <v>-521571.83944999997</v>
      </c>
      <c r="I130" s="5">
        <f t="shared" si="5"/>
        <v>-659372.10480999993</v>
      </c>
      <c r="J130" s="2" t="s">
        <v>38</v>
      </c>
      <c r="K130" t="s">
        <v>339</v>
      </c>
      <c r="L130" t="s">
        <v>180</v>
      </c>
      <c r="M130" t="s">
        <v>0</v>
      </c>
    </row>
    <row r="131" spans="1:13">
      <c r="A131" s="14" t="s">
        <v>228</v>
      </c>
      <c r="B131" s="17">
        <v>0</v>
      </c>
      <c r="C131" s="17">
        <v>0</v>
      </c>
      <c r="D131" s="17">
        <v>21569716.071719997</v>
      </c>
      <c r="E131" s="17">
        <v>21569716.071719997</v>
      </c>
      <c r="F131" s="17">
        <v>0</v>
      </c>
      <c r="G131" s="17">
        <v>0</v>
      </c>
      <c r="H131" s="25">
        <f t="shared" si="4"/>
        <v>0</v>
      </c>
      <c r="I131" s="5">
        <f t="shared" si="5"/>
        <v>0</v>
      </c>
      <c r="J131" t="s">
        <v>37</v>
      </c>
      <c r="K131" t="s">
        <v>339</v>
      </c>
      <c r="L131" t="s">
        <v>181</v>
      </c>
      <c r="M131">
        <v>0</v>
      </c>
    </row>
    <row r="132" spans="1:13">
      <c r="A132" s="14" t="s">
        <v>229</v>
      </c>
      <c r="B132" s="17">
        <v>0</v>
      </c>
      <c r="C132" s="17">
        <v>116.62665</v>
      </c>
      <c r="D132" s="17">
        <v>0</v>
      </c>
      <c r="E132" s="17">
        <v>0</v>
      </c>
      <c r="F132" s="17">
        <v>0</v>
      </c>
      <c r="G132" s="17">
        <v>116.62665</v>
      </c>
      <c r="H132" s="25">
        <f t="shared" si="4"/>
        <v>-116.62665</v>
      </c>
      <c r="I132" s="5">
        <f t="shared" si="5"/>
        <v>-116.62665</v>
      </c>
      <c r="J132" s="2" t="s">
        <v>38</v>
      </c>
      <c r="K132" t="s">
        <v>339</v>
      </c>
      <c r="L132" t="s">
        <v>182</v>
      </c>
      <c r="M132" t="s">
        <v>0</v>
      </c>
    </row>
    <row r="133" spans="1:13">
      <c r="A133" s="14" t="s">
        <v>230</v>
      </c>
      <c r="B133" s="17">
        <v>0</v>
      </c>
      <c r="C133" s="17">
        <v>13327.816419999999</v>
      </c>
      <c r="D133" s="17">
        <v>212960.65737</v>
      </c>
      <c r="E133" s="17">
        <v>216920.11118000001</v>
      </c>
      <c r="F133" s="17">
        <v>0</v>
      </c>
      <c r="G133" s="17">
        <v>17287.270230000002</v>
      </c>
      <c r="H133" s="25">
        <f t="shared" si="4"/>
        <v>-13327.816419999999</v>
      </c>
      <c r="I133" s="5">
        <f t="shared" si="5"/>
        <v>-17287.270230000002</v>
      </c>
      <c r="J133" s="2" t="s">
        <v>38</v>
      </c>
      <c r="K133" t="s">
        <v>339</v>
      </c>
      <c r="L133" t="s">
        <v>183</v>
      </c>
      <c r="M133" t="s">
        <v>0</v>
      </c>
    </row>
    <row r="134" spans="1:13">
      <c r="A134" s="14" t="s">
        <v>231</v>
      </c>
      <c r="B134" s="17">
        <v>0</v>
      </c>
      <c r="C134" s="17">
        <v>897.23840000000007</v>
      </c>
      <c r="D134" s="17">
        <v>473.34178000000003</v>
      </c>
      <c r="E134" s="17">
        <v>116.462</v>
      </c>
      <c r="F134" s="17">
        <v>0</v>
      </c>
      <c r="G134" s="17">
        <v>540.35861999999997</v>
      </c>
      <c r="H134" s="25">
        <f t="shared" si="4"/>
        <v>-897.23840000000007</v>
      </c>
      <c r="I134" s="5">
        <f t="shared" si="5"/>
        <v>-540.35861999999997</v>
      </c>
      <c r="J134" s="2" t="s">
        <v>38</v>
      </c>
      <c r="K134" t="s">
        <v>339</v>
      </c>
      <c r="L134" t="s">
        <v>184</v>
      </c>
      <c r="M134" t="s">
        <v>0</v>
      </c>
    </row>
    <row r="135" spans="1:13">
      <c r="A135" s="14" t="s">
        <v>233</v>
      </c>
      <c r="B135" s="17">
        <v>0</v>
      </c>
      <c r="C135" s="17">
        <v>53712.83567</v>
      </c>
      <c r="D135" s="17">
        <v>1142489.7600100001</v>
      </c>
      <c r="E135" s="17">
        <v>1147393.0095200001</v>
      </c>
      <c r="F135" s="17">
        <v>0</v>
      </c>
      <c r="G135" s="17">
        <v>58616.085180000002</v>
      </c>
      <c r="H135" s="25">
        <f t="shared" si="4"/>
        <v>-53712.83567</v>
      </c>
      <c r="I135" s="5">
        <f t="shared" si="5"/>
        <v>-58616.085180000002</v>
      </c>
      <c r="J135" s="2" t="s">
        <v>38</v>
      </c>
      <c r="K135" t="s">
        <v>339</v>
      </c>
      <c r="L135" t="s">
        <v>185</v>
      </c>
      <c r="M135" t="s">
        <v>0</v>
      </c>
    </row>
    <row r="136" spans="1:13">
      <c r="A136" s="14" t="s">
        <v>234</v>
      </c>
      <c r="B136" s="17">
        <v>0</v>
      </c>
      <c r="C136" s="17">
        <v>933.30799999999999</v>
      </c>
      <c r="D136" s="17">
        <v>0</v>
      </c>
      <c r="E136" s="17">
        <v>0</v>
      </c>
      <c r="F136" s="17">
        <v>0</v>
      </c>
      <c r="G136" s="17">
        <v>933.30799999999999</v>
      </c>
      <c r="H136" s="25">
        <f t="shared" si="4"/>
        <v>-933.30799999999999</v>
      </c>
      <c r="I136" s="5">
        <f t="shared" si="5"/>
        <v>-933.30799999999999</v>
      </c>
      <c r="J136" s="2" t="s">
        <v>38</v>
      </c>
      <c r="K136" t="s">
        <v>339</v>
      </c>
      <c r="L136" t="s">
        <v>186</v>
      </c>
      <c r="M136" t="s">
        <v>0</v>
      </c>
    </row>
    <row r="137" spans="1:13">
      <c r="A137" s="14" t="s">
        <v>235</v>
      </c>
      <c r="B137" s="17">
        <v>0</v>
      </c>
      <c r="C137" s="17">
        <v>2240.4929500000003</v>
      </c>
      <c r="D137" s="17">
        <v>0</v>
      </c>
      <c r="E137" s="17">
        <v>0</v>
      </c>
      <c r="F137" s="17">
        <v>0</v>
      </c>
      <c r="G137" s="17">
        <v>2240.4929500000003</v>
      </c>
      <c r="H137" s="25">
        <f t="shared" si="4"/>
        <v>-2240.4929500000003</v>
      </c>
      <c r="I137" s="5">
        <f t="shared" si="5"/>
        <v>-2240.4929500000003</v>
      </c>
      <c r="J137" s="2" t="s">
        <v>38</v>
      </c>
      <c r="K137" t="s">
        <v>339</v>
      </c>
      <c r="L137" t="s">
        <v>187</v>
      </c>
      <c r="M137" t="s">
        <v>0</v>
      </c>
    </row>
    <row r="138" spans="1:13">
      <c r="A138" s="14" t="s">
        <v>236</v>
      </c>
      <c r="B138" s="17">
        <v>0</v>
      </c>
      <c r="C138" s="17">
        <v>100912.25740999999</v>
      </c>
      <c r="D138" s="17">
        <v>1444563.12209</v>
      </c>
      <c r="E138" s="17">
        <v>1484832.35674</v>
      </c>
      <c r="F138" s="17">
        <v>0</v>
      </c>
      <c r="G138" s="17">
        <v>141181.49205999999</v>
      </c>
      <c r="H138" s="25">
        <f t="shared" si="4"/>
        <v>-100912.25740999999</v>
      </c>
      <c r="I138" s="5">
        <f t="shared" si="5"/>
        <v>-141181.49205999999</v>
      </c>
      <c r="J138" s="2" t="s">
        <v>38</v>
      </c>
      <c r="K138" t="s">
        <v>339</v>
      </c>
      <c r="L138" t="s">
        <v>188</v>
      </c>
    </row>
    <row r="139" spans="1:13">
      <c r="A139" s="14" t="s">
        <v>239</v>
      </c>
      <c r="B139" s="17">
        <v>0</v>
      </c>
      <c r="C139" s="17">
        <v>914104.68246000004</v>
      </c>
      <c r="D139" s="17">
        <v>1018701.32051</v>
      </c>
      <c r="E139" s="17">
        <v>1136508.6637500001</v>
      </c>
      <c r="F139" s="17">
        <v>0</v>
      </c>
      <c r="G139" s="17">
        <v>1031912.0257</v>
      </c>
      <c r="H139" s="25">
        <f t="shared" si="4"/>
        <v>-914104.68246000004</v>
      </c>
      <c r="I139" s="5">
        <f t="shared" si="5"/>
        <v>-1031912.0257</v>
      </c>
      <c r="J139" s="2" t="s">
        <v>38</v>
      </c>
      <c r="K139" t="s">
        <v>339</v>
      </c>
      <c r="L139" t="s">
        <v>189</v>
      </c>
      <c r="M139" t="s">
        <v>0</v>
      </c>
    </row>
    <row r="140" spans="1:13">
      <c r="A140" s="14" t="s">
        <v>240</v>
      </c>
      <c r="B140" s="17">
        <v>0</v>
      </c>
      <c r="C140" s="17">
        <v>499.42899999999997</v>
      </c>
      <c r="D140" s="19">
        <v>-251.697</v>
      </c>
      <c r="E140" s="19">
        <v>-528.04999999999995</v>
      </c>
      <c r="F140" s="17">
        <v>0</v>
      </c>
      <c r="G140" s="17">
        <v>223.07599999999999</v>
      </c>
      <c r="H140" s="25">
        <f t="shared" si="4"/>
        <v>-499.42899999999997</v>
      </c>
      <c r="I140" s="5">
        <f t="shared" si="5"/>
        <v>-223.07599999999999</v>
      </c>
      <c r="J140" t="s">
        <v>390</v>
      </c>
      <c r="K140" t="s">
        <v>339</v>
      </c>
      <c r="L140" t="s">
        <v>190</v>
      </c>
      <c r="M140" t="s">
        <v>0</v>
      </c>
    </row>
    <row r="141" spans="1:13">
      <c r="A141" s="14" t="s">
        <v>241</v>
      </c>
      <c r="B141" s="17">
        <v>0</v>
      </c>
      <c r="C141" s="17">
        <v>34725.841</v>
      </c>
      <c r="D141" s="17">
        <v>16579.134999999998</v>
      </c>
      <c r="E141" s="17">
        <v>33244.61</v>
      </c>
      <c r="F141" s="17">
        <v>0</v>
      </c>
      <c r="G141" s="17">
        <v>51391.315999999999</v>
      </c>
      <c r="H141" s="25">
        <f t="shared" si="4"/>
        <v>-34725.841</v>
      </c>
      <c r="I141" s="5">
        <f t="shared" si="5"/>
        <v>-51391.315999999999</v>
      </c>
      <c r="J141" t="s">
        <v>390</v>
      </c>
      <c r="K141" t="s">
        <v>339</v>
      </c>
      <c r="L141" t="s">
        <v>191</v>
      </c>
      <c r="M141" t="s">
        <v>0</v>
      </c>
    </row>
    <row r="142" spans="1:13">
      <c r="A142" s="14" t="s">
        <v>242</v>
      </c>
      <c r="B142" s="17">
        <v>0</v>
      </c>
      <c r="C142" s="17">
        <v>635428.61901000002</v>
      </c>
      <c r="D142" s="17">
        <v>299341.36</v>
      </c>
      <c r="E142" s="17">
        <v>303854.995</v>
      </c>
      <c r="F142" s="17">
        <v>0</v>
      </c>
      <c r="G142" s="17">
        <v>639942.25401000003</v>
      </c>
      <c r="H142" s="25">
        <f t="shared" si="4"/>
        <v>-635428.61901000002</v>
      </c>
      <c r="I142" s="5">
        <f t="shared" si="5"/>
        <v>-639942.25401000003</v>
      </c>
      <c r="J142" t="s">
        <v>35</v>
      </c>
      <c r="K142" t="s">
        <v>339</v>
      </c>
      <c r="L142" t="s">
        <v>192</v>
      </c>
      <c r="M142" t="s">
        <v>0</v>
      </c>
    </row>
    <row r="143" spans="1:13">
      <c r="A143" s="14" t="s">
        <v>244</v>
      </c>
      <c r="B143" s="17">
        <v>0</v>
      </c>
      <c r="C143" s="17">
        <v>11064644.09111</v>
      </c>
      <c r="D143" s="17">
        <v>22550817.203430001</v>
      </c>
      <c r="E143" s="17">
        <v>23583798.234169997</v>
      </c>
      <c r="F143" s="17">
        <v>0</v>
      </c>
      <c r="G143" s="17">
        <v>12097625.121849999</v>
      </c>
      <c r="H143" s="25">
        <f t="shared" si="4"/>
        <v>-11064644.09111</v>
      </c>
      <c r="I143" s="5">
        <f t="shared" si="5"/>
        <v>-12097625.121849999</v>
      </c>
      <c r="J143" s="2" t="s">
        <v>38</v>
      </c>
      <c r="K143" t="s">
        <v>339</v>
      </c>
      <c r="L143" t="s">
        <v>193</v>
      </c>
      <c r="M143" t="s">
        <v>0</v>
      </c>
    </row>
    <row r="144" spans="1:13">
      <c r="A144" s="14" t="s">
        <v>246</v>
      </c>
      <c r="B144" s="17">
        <v>0</v>
      </c>
      <c r="C144" s="17">
        <v>9043899.047720002</v>
      </c>
      <c r="D144" s="17">
        <v>26414689.061310001</v>
      </c>
      <c r="E144" s="17">
        <v>24518706.929570001</v>
      </c>
      <c r="F144" s="17">
        <v>0</v>
      </c>
      <c r="G144" s="17">
        <v>7147916.91598</v>
      </c>
      <c r="H144" s="25">
        <f t="shared" si="4"/>
        <v>-9043899.047720002</v>
      </c>
      <c r="I144" s="5">
        <f t="shared" si="5"/>
        <v>-7147916.91598</v>
      </c>
      <c r="J144" t="s">
        <v>31</v>
      </c>
      <c r="K144" t="s">
        <v>339</v>
      </c>
      <c r="L144" t="s">
        <v>194</v>
      </c>
      <c r="M144" t="s">
        <v>0</v>
      </c>
    </row>
    <row r="145" spans="1:13">
      <c r="A145" s="14" t="s">
        <v>248</v>
      </c>
      <c r="B145" s="17">
        <v>0</v>
      </c>
      <c r="C145" s="17">
        <v>58936336.03772001</v>
      </c>
      <c r="D145" s="17">
        <v>77581723.472220004</v>
      </c>
      <c r="E145" s="17">
        <v>58208930.764920004</v>
      </c>
      <c r="F145" s="17">
        <v>0</v>
      </c>
      <c r="G145" s="17">
        <v>39563543.330420002</v>
      </c>
      <c r="H145" s="25">
        <f t="shared" si="4"/>
        <v>-58936336.03772001</v>
      </c>
      <c r="I145" s="5">
        <f t="shared" si="5"/>
        <v>-39563543.330420002</v>
      </c>
      <c r="J145" t="s">
        <v>31</v>
      </c>
      <c r="K145" t="s">
        <v>339</v>
      </c>
      <c r="L145" t="s">
        <v>195</v>
      </c>
      <c r="M145" t="s">
        <v>0</v>
      </c>
    </row>
    <row r="146" spans="1:13">
      <c r="A146" s="14" t="s">
        <v>249</v>
      </c>
      <c r="B146" s="17">
        <v>0</v>
      </c>
      <c r="C146" s="19">
        <v>-7447573.1262299996</v>
      </c>
      <c r="D146" s="19">
        <v>-185643.03075999999</v>
      </c>
      <c r="E146" s="17">
        <v>0</v>
      </c>
      <c r="F146" s="17">
        <v>0</v>
      </c>
      <c r="G146" s="19">
        <v>-7261930.0954700001</v>
      </c>
      <c r="H146" s="25">
        <f t="shared" si="4"/>
        <v>7447573.1262299996</v>
      </c>
      <c r="I146" s="5">
        <f t="shared" si="5"/>
        <v>7261930.0954700001</v>
      </c>
      <c r="J146" t="s">
        <v>31</v>
      </c>
      <c r="K146" t="s">
        <v>339</v>
      </c>
      <c r="L146" t="s">
        <v>196</v>
      </c>
      <c r="M146" t="s">
        <v>0</v>
      </c>
    </row>
    <row r="147" spans="1:13">
      <c r="A147" s="14" t="s">
        <v>250</v>
      </c>
      <c r="B147" s="17">
        <v>0</v>
      </c>
      <c r="C147" s="19">
        <v>-99356.237239999988</v>
      </c>
      <c r="D147" s="19">
        <v>-84826.237239999988</v>
      </c>
      <c r="E147" s="17">
        <v>0</v>
      </c>
      <c r="F147" s="17">
        <v>0</v>
      </c>
      <c r="G147" s="19">
        <v>-14530</v>
      </c>
      <c r="H147" s="25">
        <f t="shared" si="4"/>
        <v>99356.237239999988</v>
      </c>
      <c r="I147" s="5">
        <f t="shared" si="5"/>
        <v>14530</v>
      </c>
      <c r="J147" t="s">
        <v>31</v>
      </c>
      <c r="K147" t="s">
        <v>339</v>
      </c>
      <c r="L147" t="s">
        <v>197</v>
      </c>
      <c r="M147">
        <v>0</v>
      </c>
    </row>
    <row r="148" spans="1:13">
      <c r="A148" s="14" t="s">
        <v>252</v>
      </c>
      <c r="B148" s="17">
        <v>0</v>
      </c>
      <c r="C148" s="17">
        <v>1149975.56733</v>
      </c>
      <c r="D148" s="17">
        <v>993608.27410000004</v>
      </c>
      <c r="E148" s="17">
        <v>772149.53471000004</v>
      </c>
      <c r="F148" s="17">
        <v>0</v>
      </c>
      <c r="G148" s="17">
        <v>928516.8279400001</v>
      </c>
      <c r="H148" s="25">
        <f t="shared" si="4"/>
        <v>-1149975.56733</v>
      </c>
      <c r="I148" s="5">
        <f t="shared" si="5"/>
        <v>-928516.8279400001</v>
      </c>
      <c r="J148" t="s">
        <v>32</v>
      </c>
      <c r="K148" t="s">
        <v>339</v>
      </c>
      <c r="L148" t="s">
        <v>198</v>
      </c>
      <c r="M148" t="s">
        <v>379</v>
      </c>
    </row>
    <row r="149" spans="1:13">
      <c r="A149" s="14" t="s">
        <v>254</v>
      </c>
      <c r="B149" s="17">
        <v>0</v>
      </c>
      <c r="C149" s="17">
        <v>17269986.731029999</v>
      </c>
      <c r="D149" s="17">
        <v>0</v>
      </c>
      <c r="E149" s="17">
        <v>0</v>
      </c>
      <c r="F149" s="17">
        <v>0</v>
      </c>
      <c r="G149" s="17">
        <v>17269986.731029999</v>
      </c>
      <c r="H149" s="25">
        <f t="shared" si="4"/>
        <v>-17269986.731029999</v>
      </c>
      <c r="I149" s="5">
        <f t="shared" si="5"/>
        <v>-17269986.731029999</v>
      </c>
      <c r="J149" t="s">
        <v>34</v>
      </c>
      <c r="K149" t="s">
        <v>339</v>
      </c>
      <c r="L149" t="s">
        <v>199</v>
      </c>
      <c r="M149" t="s">
        <v>379</v>
      </c>
    </row>
    <row r="150" spans="1:13">
      <c r="A150" s="14" t="s">
        <v>256</v>
      </c>
      <c r="B150" s="17">
        <v>0</v>
      </c>
      <c r="C150" s="17">
        <v>17494.056</v>
      </c>
      <c r="D150" s="19">
        <v>-3015</v>
      </c>
      <c r="E150" s="19">
        <v>-6465.56</v>
      </c>
      <c r="F150" s="17">
        <v>0</v>
      </c>
      <c r="G150" s="17">
        <v>14043.495999999999</v>
      </c>
      <c r="H150" s="25">
        <f t="shared" si="4"/>
        <v>-17494.056</v>
      </c>
      <c r="I150" s="5">
        <f t="shared" si="5"/>
        <v>-14043.495999999999</v>
      </c>
      <c r="J150" t="s">
        <v>40</v>
      </c>
      <c r="K150" t="s">
        <v>339</v>
      </c>
      <c r="L150" t="s">
        <v>200</v>
      </c>
    </row>
    <row r="151" spans="1:13">
      <c r="A151" s="14" t="s">
        <v>257</v>
      </c>
      <c r="B151" s="17">
        <v>0</v>
      </c>
      <c r="C151" s="17">
        <v>652281.005</v>
      </c>
      <c r="D151" s="17">
        <v>98193.822</v>
      </c>
      <c r="E151" s="17">
        <v>138882.20800000001</v>
      </c>
      <c r="F151" s="17">
        <v>0</v>
      </c>
      <c r="G151" s="17">
        <v>692969.39099999995</v>
      </c>
      <c r="H151" s="25">
        <f t="shared" si="4"/>
        <v>-652281.005</v>
      </c>
      <c r="I151" s="5">
        <f t="shared" si="5"/>
        <v>-692969.39099999995</v>
      </c>
      <c r="J151" t="s">
        <v>40</v>
      </c>
      <c r="K151" t="s">
        <v>339</v>
      </c>
      <c r="L151" t="s">
        <v>201</v>
      </c>
      <c r="M151" t="s">
        <v>379</v>
      </c>
    </row>
    <row r="152" spans="1:13">
      <c r="A152" s="14" t="s">
        <v>258</v>
      </c>
      <c r="B152" s="17">
        <v>0</v>
      </c>
      <c r="C152" s="17">
        <v>68829</v>
      </c>
      <c r="D152" s="17">
        <v>0</v>
      </c>
      <c r="E152" s="17">
        <v>0</v>
      </c>
      <c r="F152" s="17">
        <v>0</v>
      </c>
      <c r="G152" s="17">
        <v>68829</v>
      </c>
      <c r="H152" s="25">
        <f t="shared" si="4"/>
        <v>-68829</v>
      </c>
      <c r="I152" s="5">
        <f t="shared" si="5"/>
        <v>-68829</v>
      </c>
      <c r="J152" t="s">
        <v>393</v>
      </c>
      <c r="K152" t="s">
        <v>339</v>
      </c>
      <c r="L152" t="s">
        <v>202</v>
      </c>
    </row>
    <row r="153" spans="1:13">
      <c r="A153" s="14" t="s">
        <v>260</v>
      </c>
      <c r="B153" s="17">
        <v>0</v>
      </c>
      <c r="C153" s="17">
        <v>83565883.004179999</v>
      </c>
      <c r="D153" s="17">
        <v>0</v>
      </c>
      <c r="E153" s="17">
        <v>0</v>
      </c>
      <c r="F153" s="17">
        <v>0</v>
      </c>
      <c r="G153" s="17">
        <v>83565883.004179999</v>
      </c>
      <c r="H153" s="25">
        <f t="shared" ref="H153" si="6">B153-C153</f>
        <v>-83565883.004179999</v>
      </c>
      <c r="I153" s="5">
        <f t="shared" ref="I153" si="7">F153-G153</f>
        <v>-83565883.004179999</v>
      </c>
      <c r="J153" t="s">
        <v>28</v>
      </c>
      <c r="K153" t="s">
        <v>340</v>
      </c>
      <c r="L153" t="s">
        <v>203</v>
      </c>
      <c r="M153">
        <v>0</v>
      </c>
    </row>
    <row r="154" spans="1:13">
      <c r="A154" s="14" t="s">
        <v>262</v>
      </c>
      <c r="B154" s="17">
        <v>0</v>
      </c>
      <c r="C154" s="17">
        <v>450000</v>
      </c>
      <c r="D154" s="17">
        <v>0</v>
      </c>
      <c r="E154" s="17">
        <v>0</v>
      </c>
      <c r="F154" s="17">
        <v>0</v>
      </c>
      <c r="G154" s="17">
        <v>450000</v>
      </c>
      <c r="H154" s="25">
        <f t="shared" ref="H154" si="8">B154-C154</f>
        <v>-450000</v>
      </c>
      <c r="I154" s="5">
        <f t="shared" ref="I154" si="9">F154-G154</f>
        <v>-450000</v>
      </c>
      <c r="J154" s="5" t="s">
        <v>391</v>
      </c>
      <c r="K154" t="s">
        <v>340</v>
      </c>
      <c r="L154" t="s">
        <v>204</v>
      </c>
      <c r="M154" t="s">
        <v>380</v>
      </c>
    </row>
    <row r="155" spans="1:13">
      <c r="A155" s="13" t="s">
        <v>263</v>
      </c>
      <c r="B155" s="16">
        <v>0</v>
      </c>
      <c r="C155" s="20">
        <v>-111074975.08739001</v>
      </c>
      <c r="D155" s="20">
        <v>-16573541.784209998</v>
      </c>
      <c r="E155" s="16">
        <v>10576700.11365</v>
      </c>
      <c r="F155" s="16">
        <v>0</v>
      </c>
      <c r="G155" s="20">
        <v>-83924733.189530015</v>
      </c>
      <c r="H155" s="25">
        <f t="shared" ref="H155" si="10">B155-C155</f>
        <v>111074975.08739001</v>
      </c>
      <c r="I155" s="5">
        <f t="shared" ref="I155" si="11">F155-G155</f>
        <v>83924733.189530015</v>
      </c>
      <c r="J155" s="7" t="s">
        <v>29</v>
      </c>
      <c r="K155" t="s">
        <v>340</v>
      </c>
      <c r="L155" t="s">
        <v>205</v>
      </c>
      <c r="M155" t="s">
        <v>380</v>
      </c>
    </row>
    <row r="156" spans="1:13">
      <c r="A156" s="14" t="s">
        <v>264</v>
      </c>
      <c r="B156" s="17">
        <v>0</v>
      </c>
      <c r="C156" s="19">
        <v>-4084078.0457899999</v>
      </c>
      <c r="D156" s="19">
        <v>-16644306.473649999</v>
      </c>
      <c r="E156" s="17">
        <v>14590412.251</v>
      </c>
      <c r="F156" s="17">
        <v>0</v>
      </c>
      <c r="G156" s="17">
        <v>27150640.678860001</v>
      </c>
      <c r="H156" s="25"/>
      <c r="I156" s="5"/>
      <c r="J156" s="5"/>
      <c r="L156" t="s">
        <v>206</v>
      </c>
      <c r="M156" t="s">
        <v>380</v>
      </c>
    </row>
    <row r="157" spans="1:13">
      <c r="A157" s="14" t="s">
        <v>265</v>
      </c>
      <c r="B157" s="17">
        <v>0</v>
      </c>
      <c r="C157" s="19">
        <v>-106990897.0416</v>
      </c>
      <c r="D157" s="17">
        <v>70764.689440000002</v>
      </c>
      <c r="E157" s="19">
        <v>-4013712.13735</v>
      </c>
      <c r="F157" s="17">
        <v>0</v>
      </c>
      <c r="G157" s="19">
        <v>-111075373.86838999</v>
      </c>
      <c r="H157" s="25"/>
      <c r="I157" s="5"/>
      <c r="J157" s="5"/>
      <c r="L157" t="s">
        <v>207</v>
      </c>
      <c r="M157" t="s">
        <v>380</v>
      </c>
    </row>
    <row r="158" spans="1:13">
      <c r="A158" s="13" t="s">
        <v>266</v>
      </c>
      <c r="B158" s="16">
        <v>0</v>
      </c>
      <c r="C158" s="16">
        <v>0</v>
      </c>
      <c r="D158" s="16">
        <v>83999382.707749993</v>
      </c>
      <c r="E158" s="16">
        <v>83999382.707749993</v>
      </c>
      <c r="F158" s="16">
        <v>0</v>
      </c>
      <c r="G158" s="16">
        <v>0</v>
      </c>
      <c r="H158" s="25"/>
      <c r="I158" s="5"/>
      <c r="J158" s="5"/>
      <c r="L158" t="s">
        <v>208</v>
      </c>
      <c r="M158" t="s">
        <v>380</v>
      </c>
    </row>
    <row r="159" spans="1:13">
      <c r="A159" s="14" t="s">
        <v>267</v>
      </c>
      <c r="B159" s="17">
        <v>0</v>
      </c>
      <c r="C159" s="17">
        <v>0</v>
      </c>
      <c r="D159" s="17">
        <v>83999382.707749993</v>
      </c>
      <c r="E159" s="17">
        <v>83999382.707749993</v>
      </c>
      <c r="F159" s="17">
        <v>0</v>
      </c>
      <c r="G159" s="17">
        <v>0</v>
      </c>
      <c r="H159" s="25"/>
      <c r="I159" s="5"/>
      <c r="J159" s="5"/>
      <c r="L159" t="s">
        <v>209</v>
      </c>
      <c r="M159" t="s">
        <v>380</v>
      </c>
    </row>
    <row r="160" spans="1:13">
      <c r="A160" s="13" t="s">
        <v>268</v>
      </c>
      <c r="B160" s="16">
        <v>0</v>
      </c>
      <c r="C160" s="16">
        <v>0</v>
      </c>
      <c r="D160" s="16">
        <v>43237827.189110011</v>
      </c>
      <c r="E160" s="16">
        <v>43237827.189110011</v>
      </c>
      <c r="F160" s="16">
        <v>0</v>
      </c>
      <c r="G160" s="16">
        <v>0</v>
      </c>
      <c r="H160" s="25"/>
      <c r="I160" s="5"/>
      <c r="J160" s="5"/>
      <c r="L160" t="s">
        <v>210</v>
      </c>
      <c r="M160" t="s">
        <v>380</v>
      </c>
    </row>
    <row r="161" spans="1:13">
      <c r="A161" s="14" t="s">
        <v>269</v>
      </c>
      <c r="B161" s="17">
        <v>0</v>
      </c>
      <c r="C161" s="17">
        <v>0</v>
      </c>
      <c r="D161" s="17">
        <v>43237827.189110011</v>
      </c>
      <c r="E161" s="17">
        <v>43237827.189110011</v>
      </c>
      <c r="F161" s="17">
        <v>0</v>
      </c>
      <c r="G161" s="17">
        <v>0</v>
      </c>
      <c r="H161" s="25"/>
      <c r="I161" s="5"/>
      <c r="J161" s="5"/>
      <c r="L161" t="s">
        <v>211</v>
      </c>
      <c r="M161">
        <v>0</v>
      </c>
    </row>
    <row r="162" spans="1:13">
      <c r="A162" s="13" t="s">
        <v>270</v>
      </c>
      <c r="B162" s="16">
        <v>0</v>
      </c>
      <c r="C162" s="16">
        <v>0</v>
      </c>
      <c r="D162" s="16">
        <v>1563750.1066099999</v>
      </c>
      <c r="E162" s="16">
        <v>1563750.1066099999</v>
      </c>
      <c r="F162" s="16">
        <v>0</v>
      </c>
      <c r="G162" s="16">
        <v>0</v>
      </c>
      <c r="H162" s="25"/>
      <c r="I162" s="5"/>
      <c r="J162" s="5"/>
      <c r="L162" t="s">
        <v>212</v>
      </c>
      <c r="M162" t="s">
        <v>380</v>
      </c>
    </row>
    <row r="163" spans="1:13">
      <c r="A163" s="14" t="s">
        <v>271</v>
      </c>
      <c r="B163" s="17">
        <v>0</v>
      </c>
      <c r="C163" s="17">
        <v>0</v>
      </c>
      <c r="D163" s="17">
        <v>1805267.7262099998</v>
      </c>
      <c r="E163" s="17">
        <v>1805267.7262099998</v>
      </c>
      <c r="F163" s="17">
        <v>0</v>
      </c>
      <c r="G163" s="17">
        <v>0</v>
      </c>
      <c r="H163" s="25"/>
      <c r="I163" s="5"/>
      <c r="J163" s="5"/>
      <c r="L163" t="s">
        <v>213</v>
      </c>
      <c r="M163" t="s">
        <v>380</v>
      </c>
    </row>
    <row r="164" spans="1:13">
      <c r="A164" s="14" t="s">
        <v>272</v>
      </c>
      <c r="B164" s="17">
        <v>0</v>
      </c>
      <c r="C164" s="17">
        <v>0</v>
      </c>
      <c r="D164" s="19">
        <v>-241517.61960000001</v>
      </c>
      <c r="E164" s="19">
        <v>-241517.61960000001</v>
      </c>
      <c r="F164" s="17">
        <v>0</v>
      </c>
      <c r="G164" s="17">
        <v>0</v>
      </c>
      <c r="H164" s="25"/>
      <c r="I164" s="5"/>
      <c r="J164" s="5"/>
      <c r="L164" t="s">
        <v>214</v>
      </c>
    </row>
    <row r="165" spans="1:13">
      <c r="A165" s="13" t="s">
        <v>273</v>
      </c>
      <c r="B165" s="16">
        <v>0</v>
      </c>
      <c r="C165" s="16">
        <v>0</v>
      </c>
      <c r="D165" s="16">
        <v>39785730.036789998</v>
      </c>
      <c r="E165" s="16">
        <v>39785730.036789998</v>
      </c>
      <c r="F165" s="16">
        <v>0</v>
      </c>
      <c r="G165" s="16">
        <v>0</v>
      </c>
      <c r="H165" s="25"/>
      <c r="I165" s="5"/>
      <c r="J165" s="5"/>
      <c r="L165" t="s">
        <v>215</v>
      </c>
      <c r="M165" t="s">
        <v>380</v>
      </c>
    </row>
    <row r="166" spans="1:13">
      <c r="A166" s="14" t="s">
        <v>274</v>
      </c>
      <c r="B166" s="17">
        <v>0</v>
      </c>
      <c r="C166" s="17">
        <v>0</v>
      </c>
      <c r="D166" s="17">
        <v>164113.66389</v>
      </c>
      <c r="E166" s="17">
        <v>164113.66389</v>
      </c>
      <c r="F166" s="17">
        <v>0</v>
      </c>
      <c r="G166" s="17">
        <v>0</v>
      </c>
      <c r="H166" s="25"/>
      <c r="I166" s="5"/>
      <c r="J166" s="5"/>
      <c r="L166" t="s">
        <v>216</v>
      </c>
      <c r="M166" t="s">
        <v>380</v>
      </c>
    </row>
    <row r="167" spans="1:13">
      <c r="A167" s="14" t="s">
        <v>275</v>
      </c>
      <c r="B167" s="17">
        <v>0</v>
      </c>
      <c r="C167" s="17">
        <v>0</v>
      </c>
      <c r="D167" s="17">
        <v>94.447600000000008</v>
      </c>
      <c r="E167" s="17">
        <v>94.447600000000008</v>
      </c>
      <c r="F167" s="17">
        <v>0</v>
      </c>
      <c r="G167" s="17">
        <v>0</v>
      </c>
      <c r="H167" s="25"/>
      <c r="I167" s="5"/>
      <c r="J167" s="5"/>
      <c r="L167" t="s">
        <v>217</v>
      </c>
      <c r="M167" t="s">
        <v>380</v>
      </c>
    </row>
    <row r="168" spans="1:13">
      <c r="A168" s="15" t="s">
        <v>276</v>
      </c>
      <c r="B168" s="18">
        <v>0</v>
      </c>
      <c r="C168" s="18">
        <v>0</v>
      </c>
      <c r="D168" s="18">
        <v>21445903.756920002</v>
      </c>
      <c r="E168" s="18">
        <v>21445903.756920002</v>
      </c>
      <c r="F168" s="18">
        <v>0</v>
      </c>
      <c r="G168" s="18">
        <v>0</v>
      </c>
      <c r="H168" s="25"/>
      <c r="I168" s="5"/>
      <c r="J168" s="5"/>
      <c r="L168" t="s">
        <v>218</v>
      </c>
      <c r="M168">
        <v>0</v>
      </c>
    </row>
    <row r="169" spans="1:13">
      <c r="A169" s="14" t="s">
        <v>277</v>
      </c>
      <c r="B169" s="17">
        <v>0</v>
      </c>
      <c r="C169" s="17">
        <v>0</v>
      </c>
      <c r="D169" s="17">
        <v>21436586.685689997</v>
      </c>
      <c r="E169" s="17">
        <v>21436586.685689997</v>
      </c>
      <c r="F169" s="17">
        <v>0</v>
      </c>
      <c r="G169" s="17">
        <v>0</v>
      </c>
      <c r="H169" s="25"/>
      <c r="I169" s="5"/>
      <c r="J169" s="5"/>
      <c r="L169" t="s">
        <v>219</v>
      </c>
      <c r="M169" t="s">
        <v>380</v>
      </c>
    </row>
    <row r="170" spans="1:13">
      <c r="A170" s="14" t="s">
        <v>278</v>
      </c>
      <c r="B170" s="17">
        <v>0</v>
      </c>
      <c r="C170" s="17">
        <v>0</v>
      </c>
      <c r="D170" s="17">
        <v>9317.0712299999996</v>
      </c>
      <c r="E170" s="17">
        <v>9317.0712299999996</v>
      </c>
      <c r="F170" s="17">
        <v>0</v>
      </c>
      <c r="G170" s="17">
        <v>0</v>
      </c>
      <c r="H170" s="25"/>
      <c r="I170" s="5"/>
      <c r="J170" s="5"/>
      <c r="L170" t="s">
        <v>220</v>
      </c>
      <c r="M170" t="s">
        <v>380</v>
      </c>
    </row>
    <row r="171" spans="1:13">
      <c r="A171" s="14" t="s">
        <v>279</v>
      </c>
      <c r="B171" s="17">
        <v>0</v>
      </c>
      <c r="C171" s="17">
        <v>0</v>
      </c>
      <c r="D171" s="17">
        <v>105459.61890999999</v>
      </c>
      <c r="E171" s="17">
        <v>105459.61890999999</v>
      </c>
      <c r="F171" s="17">
        <v>0</v>
      </c>
      <c r="G171" s="17">
        <v>0</v>
      </c>
      <c r="H171" s="25"/>
      <c r="I171" s="5"/>
      <c r="J171" s="5"/>
      <c r="L171" t="s">
        <v>221</v>
      </c>
      <c r="M171">
        <v>0</v>
      </c>
    </row>
    <row r="172" spans="1:13">
      <c r="A172" s="14" t="s">
        <v>280</v>
      </c>
      <c r="B172" s="17">
        <v>0</v>
      </c>
      <c r="C172" s="17">
        <v>0</v>
      </c>
      <c r="D172" s="17">
        <v>18070158.549469996</v>
      </c>
      <c r="E172" s="17">
        <v>18070158.549469996</v>
      </c>
      <c r="F172" s="17">
        <v>0</v>
      </c>
      <c r="G172" s="17">
        <v>0</v>
      </c>
      <c r="H172" s="25"/>
      <c r="I172" s="5"/>
      <c r="J172" s="5"/>
      <c r="L172" t="s">
        <v>222</v>
      </c>
      <c r="M172">
        <v>0</v>
      </c>
    </row>
    <row r="173" spans="1:13">
      <c r="A173" s="13" t="s">
        <v>281</v>
      </c>
      <c r="B173" s="16">
        <v>0</v>
      </c>
      <c r="C173" s="16">
        <v>0</v>
      </c>
      <c r="D173" s="16">
        <v>256.28100000000001</v>
      </c>
      <c r="E173" s="16">
        <v>256.28100000000001</v>
      </c>
      <c r="F173" s="16">
        <v>0</v>
      </c>
      <c r="G173" s="16">
        <v>0</v>
      </c>
      <c r="H173" s="25"/>
      <c r="I173" s="5"/>
      <c r="J173" s="5"/>
      <c r="L173" t="s">
        <v>223</v>
      </c>
      <c r="M173" t="s">
        <v>380</v>
      </c>
    </row>
    <row r="174" spans="1:13">
      <c r="A174" s="14" t="s">
        <v>282</v>
      </c>
      <c r="B174" s="17">
        <v>0</v>
      </c>
      <c r="C174" s="17">
        <v>0</v>
      </c>
      <c r="D174" s="17">
        <v>256.28100000000001</v>
      </c>
      <c r="E174" s="17">
        <v>256.28100000000001</v>
      </c>
      <c r="F174" s="17">
        <v>0</v>
      </c>
      <c r="G174" s="17">
        <v>0</v>
      </c>
      <c r="H174" s="25"/>
      <c r="I174" s="5"/>
      <c r="J174" s="5"/>
      <c r="L174" t="s">
        <v>224</v>
      </c>
      <c r="M174" t="s">
        <v>380</v>
      </c>
    </row>
    <row r="175" spans="1:13">
      <c r="A175" s="13" t="s">
        <v>283</v>
      </c>
      <c r="B175" s="16">
        <v>0</v>
      </c>
      <c r="C175" s="16">
        <v>0</v>
      </c>
      <c r="D175" s="16">
        <v>29159704.113900002</v>
      </c>
      <c r="E175" s="16">
        <v>29159704.113900002</v>
      </c>
      <c r="F175" s="16">
        <v>0</v>
      </c>
      <c r="G175" s="16">
        <v>0</v>
      </c>
      <c r="H175" s="25"/>
      <c r="I175" s="5"/>
      <c r="J175" s="5"/>
      <c r="L175" t="s">
        <v>225</v>
      </c>
      <c r="M175" t="s">
        <v>380</v>
      </c>
    </row>
    <row r="176" spans="1:13">
      <c r="A176" s="14" t="s">
        <v>284</v>
      </c>
      <c r="B176" s="17">
        <v>0</v>
      </c>
      <c r="C176" s="17">
        <v>0</v>
      </c>
      <c r="D176" s="17">
        <v>29159704.113900002</v>
      </c>
      <c r="E176" s="17">
        <v>29159704.113900002</v>
      </c>
      <c r="F176" s="17">
        <v>0</v>
      </c>
      <c r="G176" s="17">
        <v>0</v>
      </c>
      <c r="H176" s="25"/>
      <c r="I176" s="5"/>
      <c r="J176" s="5"/>
      <c r="L176" t="s">
        <v>226</v>
      </c>
      <c r="M176" t="s">
        <v>380</v>
      </c>
    </row>
    <row r="177" spans="1:13">
      <c r="A177" s="13" t="s">
        <v>285</v>
      </c>
      <c r="B177" s="16">
        <v>0</v>
      </c>
      <c r="C177" s="16">
        <v>0</v>
      </c>
      <c r="D177" s="16">
        <v>504850.40257999999</v>
      </c>
      <c r="E177" s="16">
        <v>504850.40257999999</v>
      </c>
      <c r="F177" s="16">
        <v>0</v>
      </c>
      <c r="G177" s="16">
        <v>0</v>
      </c>
      <c r="H177" s="25"/>
      <c r="I177" s="5"/>
      <c r="J177" s="5"/>
      <c r="L177" t="s">
        <v>227</v>
      </c>
      <c r="M177">
        <v>0</v>
      </c>
    </row>
    <row r="178" spans="1:13">
      <c r="A178" s="14" t="s">
        <v>286</v>
      </c>
      <c r="B178" s="17">
        <v>0</v>
      </c>
      <c r="C178" s="17">
        <v>0</v>
      </c>
      <c r="D178" s="17">
        <v>504850.40257999999</v>
      </c>
      <c r="E178" s="17">
        <v>504850.40257999999</v>
      </c>
      <c r="F178" s="17">
        <v>0</v>
      </c>
      <c r="G178" s="17">
        <v>0</v>
      </c>
      <c r="H178" s="25"/>
      <c r="I178" s="5"/>
      <c r="J178" s="5"/>
      <c r="L178" t="s">
        <v>228</v>
      </c>
      <c r="M178" t="s">
        <v>379</v>
      </c>
    </row>
    <row r="179" spans="1:13">
      <c r="A179" s="13" t="s">
        <v>287</v>
      </c>
      <c r="B179" s="16">
        <v>0</v>
      </c>
      <c r="C179" s="16">
        <v>0</v>
      </c>
      <c r="D179" s="16">
        <v>3781092.0556399999</v>
      </c>
      <c r="E179" s="16">
        <v>3781092.0556399999</v>
      </c>
      <c r="F179" s="16">
        <v>0</v>
      </c>
      <c r="G179" s="16">
        <v>0</v>
      </c>
      <c r="H179" s="25"/>
      <c r="I179" s="5"/>
      <c r="J179" s="5"/>
      <c r="L179" t="s">
        <v>229</v>
      </c>
      <c r="M179" t="s">
        <v>380</v>
      </c>
    </row>
    <row r="180" spans="1:13">
      <c r="A180" s="15" t="s">
        <v>288</v>
      </c>
      <c r="B180" s="18">
        <v>0</v>
      </c>
      <c r="C180" s="18">
        <v>0</v>
      </c>
      <c r="D180" s="18">
        <v>3781092.0556399999</v>
      </c>
      <c r="E180" s="18">
        <v>3781092.0556399999</v>
      </c>
      <c r="F180" s="18">
        <v>0</v>
      </c>
      <c r="G180" s="18">
        <v>0</v>
      </c>
      <c r="H180" s="25"/>
      <c r="I180" s="5"/>
      <c r="J180" s="5"/>
      <c r="L180" t="s">
        <v>230</v>
      </c>
      <c r="M180" t="s">
        <v>380</v>
      </c>
    </row>
    <row r="181" spans="1:13">
      <c r="A181" s="14" t="s">
        <v>289</v>
      </c>
      <c r="B181" s="17">
        <v>0</v>
      </c>
      <c r="C181" s="17">
        <v>0</v>
      </c>
      <c r="D181" s="17">
        <v>3650528.6326099997</v>
      </c>
      <c r="E181" s="17">
        <v>3650528.6326099997</v>
      </c>
      <c r="F181" s="17">
        <v>0</v>
      </c>
      <c r="G181" s="17">
        <v>0</v>
      </c>
      <c r="H181" s="25"/>
      <c r="I181" s="5"/>
      <c r="J181" s="5"/>
      <c r="L181" t="s">
        <v>231</v>
      </c>
      <c r="M181" t="s">
        <v>380</v>
      </c>
    </row>
    <row r="182" spans="1:13">
      <c r="A182" s="14" t="s">
        <v>290</v>
      </c>
      <c r="B182" s="17">
        <v>0</v>
      </c>
      <c r="C182" s="17">
        <v>0</v>
      </c>
      <c r="D182" s="17">
        <v>121930.46652</v>
      </c>
      <c r="E182" s="17">
        <v>121930.46652</v>
      </c>
      <c r="F182" s="17">
        <v>0</v>
      </c>
      <c r="G182" s="17">
        <v>0</v>
      </c>
      <c r="H182" s="25"/>
      <c r="I182" s="5"/>
      <c r="J182" s="5"/>
      <c r="L182" t="s">
        <v>232</v>
      </c>
    </row>
    <row r="183" spans="1:13">
      <c r="A183" s="14" t="s">
        <v>291</v>
      </c>
      <c r="B183" s="17">
        <v>0</v>
      </c>
      <c r="C183" s="17">
        <v>0</v>
      </c>
      <c r="D183" s="17">
        <v>8632.95651</v>
      </c>
      <c r="E183" s="17">
        <v>8632.95651</v>
      </c>
      <c r="F183" s="17">
        <v>0</v>
      </c>
      <c r="G183" s="17">
        <v>0</v>
      </c>
      <c r="H183" s="25"/>
      <c r="I183" s="5"/>
      <c r="J183" s="5"/>
      <c r="L183" t="s">
        <v>233</v>
      </c>
      <c r="M183" t="s">
        <v>380</v>
      </c>
    </row>
    <row r="184" spans="1:13">
      <c r="A184" s="13" t="s">
        <v>292</v>
      </c>
      <c r="B184" s="16">
        <v>0</v>
      </c>
      <c r="C184" s="16">
        <v>0</v>
      </c>
      <c r="D184" s="16">
        <v>2104308.0510100001</v>
      </c>
      <c r="E184" s="16">
        <v>2104308.0510100001</v>
      </c>
      <c r="F184" s="16">
        <v>0</v>
      </c>
      <c r="G184" s="16">
        <v>0</v>
      </c>
      <c r="H184" s="25"/>
      <c r="I184" s="5"/>
      <c r="J184" s="5"/>
      <c r="L184" t="s">
        <v>234</v>
      </c>
      <c r="M184" t="s">
        <v>380</v>
      </c>
    </row>
    <row r="185" spans="1:13">
      <c r="A185" s="15" t="s">
        <v>293</v>
      </c>
      <c r="B185" s="18">
        <v>0</v>
      </c>
      <c r="C185" s="18">
        <v>0</v>
      </c>
      <c r="D185" s="18">
        <v>2104308.0510100001</v>
      </c>
      <c r="E185" s="18">
        <v>2104308.0510100001</v>
      </c>
      <c r="F185" s="18">
        <v>0</v>
      </c>
      <c r="G185" s="18">
        <v>0</v>
      </c>
      <c r="H185" s="25"/>
      <c r="I185" s="5"/>
      <c r="J185" s="5"/>
      <c r="L185" t="s">
        <v>235</v>
      </c>
      <c r="M185" t="s">
        <v>380</v>
      </c>
    </row>
    <row r="186" spans="1:13">
      <c r="A186" s="14" t="s">
        <v>294</v>
      </c>
      <c r="B186" s="17">
        <v>0</v>
      </c>
      <c r="C186" s="17">
        <v>0</v>
      </c>
      <c r="D186" s="17">
        <v>2104308.0510100001</v>
      </c>
      <c r="E186" s="17">
        <v>2104308.0510100001</v>
      </c>
      <c r="F186" s="17">
        <v>0</v>
      </c>
      <c r="G186" s="17">
        <v>0</v>
      </c>
      <c r="H186" s="25"/>
      <c r="I186" s="5"/>
      <c r="J186" s="5"/>
      <c r="L186" t="s">
        <v>236</v>
      </c>
      <c r="M186" t="s">
        <v>380</v>
      </c>
    </row>
    <row r="187" spans="1:13">
      <c r="A187" s="13" t="s">
        <v>295</v>
      </c>
      <c r="B187" s="16">
        <v>0</v>
      </c>
      <c r="C187" s="16">
        <v>0</v>
      </c>
      <c r="D187" s="16">
        <v>22333512.580460001</v>
      </c>
      <c r="E187" s="16">
        <v>22333512.580460001</v>
      </c>
      <c r="F187" s="16">
        <v>0</v>
      </c>
      <c r="G187" s="16">
        <v>0</v>
      </c>
      <c r="H187" s="25"/>
      <c r="I187" s="5"/>
      <c r="J187" s="5"/>
      <c r="L187" t="s">
        <v>237</v>
      </c>
      <c r="M187">
        <v>0</v>
      </c>
    </row>
    <row r="188" spans="1:13">
      <c r="A188" s="14" t="s">
        <v>296</v>
      </c>
      <c r="B188" s="17">
        <v>0</v>
      </c>
      <c r="C188" s="17">
        <v>0</v>
      </c>
      <c r="D188" s="17">
        <v>102572.71923999999</v>
      </c>
      <c r="E188" s="17">
        <v>102572.71923999999</v>
      </c>
      <c r="F188" s="17">
        <v>0</v>
      </c>
      <c r="G188" s="17">
        <v>0</v>
      </c>
      <c r="H188" s="25"/>
      <c r="I188" s="5"/>
      <c r="J188" s="5"/>
      <c r="L188" t="s">
        <v>238</v>
      </c>
    </row>
    <row r="189" spans="1:13">
      <c r="A189" s="15" t="s">
        <v>297</v>
      </c>
      <c r="B189" s="18">
        <v>0</v>
      </c>
      <c r="C189" s="18">
        <v>0</v>
      </c>
      <c r="D189" s="18">
        <v>634397.15204999992</v>
      </c>
      <c r="E189" s="18">
        <v>634397.15204999992</v>
      </c>
      <c r="F189" s="18">
        <v>0</v>
      </c>
      <c r="G189" s="18">
        <v>0</v>
      </c>
      <c r="H189" s="25"/>
      <c r="I189" s="5"/>
      <c r="J189" s="5"/>
      <c r="L189" t="s">
        <v>239</v>
      </c>
      <c r="M189" t="s">
        <v>380</v>
      </c>
    </row>
    <row r="190" spans="1:13">
      <c r="A190" s="14" t="s">
        <v>298</v>
      </c>
      <c r="B190" s="17">
        <v>0</v>
      </c>
      <c r="C190" s="17">
        <v>0</v>
      </c>
      <c r="D190" s="17">
        <v>634397.15204999992</v>
      </c>
      <c r="E190" s="17">
        <v>634397.15204999992</v>
      </c>
      <c r="F190" s="17">
        <v>0</v>
      </c>
      <c r="G190" s="17">
        <v>0</v>
      </c>
      <c r="H190" s="25"/>
      <c r="I190" s="5"/>
      <c r="J190" s="5"/>
      <c r="L190" t="s">
        <v>240</v>
      </c>
      <c r="M190" t="s">
        <v>381</v>
      </c>
    </row>
    <row r="191" spans="1:13">
      <c r="A191" s="15" t="s">
        <v>299</v>
      </c>
      <c r="B191" s="18">
        <v>0</v>
      </c>
      <c r="C191" s="18">
        <v>0</v>
      </c>
      <c r="D191" s="18">
        <v>21296016.09702</v>
      </c>
      <c r="E191" s="18">
        <v>21296016.09702</v>
      </c>
      <c r="F191" s="18">
        <v>0</v>
      </c>
      <c r="G191" s="18">
        <v>0</v>
      </c>
      <c r="H191" s="25"/>
      <c r="L191" t="s">
        <v>241</v>
      </c>
      <c r="M191" t="s">
        <v>381</v>
      </c>
    </row>
    <row r="192" spans="1:13">
      <c r="A192" s="14" t="s">
        <v>300</v>
      </c>
      <c r="B192" s="17">
        <v>0</v>
      </c>
      <c r="C192" s="17">
        <v>0</v>
      </c>
      <c r="D192" s="17">
        <v>20961279.772920001</v>
      </c>
      <c r="E192" s="17">
        <v>20961279.772920001</v>
      </c>
      <c r="F192" s="17">
        <v>0</v>
      </c>
      <c r="G192" s="17">
        <v>0</v>
      </c>
      <c r="L192" t="s">
        <v>242</v>
      </c>
      <c r="M192" t="s">
        <v>382</v>
      </c>
    </row>
    <row r="193" spans="1:13">
      <c r="A193" s="14" t="s">
        <v>301</v>
      </c>
      <c r="B193" s="17">
        <v>0</v>
      </c>
      <c r="C193" s="17">
        <v>0</v>
      </c>
      <c r="D193" s="17">
        <v>334736.32410000003</v>
      </c>
      <c r="E193" s="17">
        <v>334736.32410000003</v>
      </c>
      <c r="F193" s="17">
        <v>0</v>
      </c>
      <c r="G193" s="17">
        <v>0</v>
      </c>
      <c r="L193" t="s">
        <v>243</v>
      </c>
    </row>
    <row r="194" spans="1:13">
      <c r="A194" s="15" t="s">
        <v>302</v>
      </c>
      <c r="B194" s="18">
        <v>0</v>
      </c>
      <c r="C194" s="18">
        <v>0</v>
      </c>
      <c r="D194" s="21">
        <v>-297942.59914999997</v>
      </c>
      <c r="E194" s="21">
        <v>-297942.59914999997</v>
      </c>
      <c r="F194" s="18">
        <v>0</v>
      </c>
      <c r="G194" s="18">
        <v>0</v>
      </c>
      <c r="L194" t="s">
        <v>244</v>
      </c>
      <c r="M194" t="s">
        <v>380</v>
      </c>
    </row>
    <row r="195" spans="1:13">
      <c r="A195" s="14" t="s">
        <v>303</v>
      </c>
      <c r="B195" s="17">
        <v>0</v>
      </c>
      <c r="C195" s="17">
        <v>0</v>
      </c>
      <c r="D195" s="17">
        <v>23.393330000000002</v>
      </c>
      <c r="E195" s="17">
        <v>23.393330000000002</v>
      </c>
      <c r="F195" s="17">
        <v>0</v>
      </c>
      <c r="G195" s="17">
        <v>0</v>
      </c>
      <c r="L195" t="s">
        <v>245</v>
      </c>
    </row>
    <row r="196" spans="1:13">
      <c r="A196" s="14" t="s">
        <v>304</v>
      </c>
      <c r="B196" s="17">
        <v>0</v>
      </c>
      <c r="C196" s="17">
        <v>0</v>
      </c>
      <c r="D196" s="17">
        <v>22393.091469999999</v>
      </c>
      <c r="E196" s="17">
        <v>22393.091469999999</v>
      </c>
      <c r="F196" s="17">
        <v>0</v>
      </c>
      <c r="G196" s="17">
        <v>0</v>
      </c>
      <c r="L196" t="s">
        <v>246</v>
      </c>
      <c r="M196" t="s">
        <v>383</v>
      </c>
    </row>
    <row r="197" spans="1:13">
      <c r="A197" s="14" t="s">
        <v>305</v>
      </c>
      <c r="B197" s="17">
        <v>0</v>
      </c>
      <c r="C197" s="17">
        <v>0</v>
      </c>
      <c r="D197" s="17">
        <v>44057.221450000005</v>
      </c>
      <c r="E197" s="17">
        <v>44057.221450000005</v>
      </c>
      <c r="F197" s="17">
        <v>0</v>
      </c>
      <c r="G197" s="17">
        <v>0</v>
      </c>
      <c r="L197" t="s">
        <v>247</v>
      </c>
    </row>
    <row r="198" spans="1:13">
      <c r="A198" s="14" t="s">
        <v>306</v>
      </c>
      <c r="B198" s="17">
        <v>0</v>
      </c>
      <c r="C198" s="17">
        <v>0</v>
      </c>
      <c r="D198" s="19">
        <v>-364416.30539999995</v>
      </c>
      <c r="E198" s="19">
        <v>-364416.30539999995</v>
      </c>
      <c r="F198" s="17">
        <v>0</v>
      </c>
      <c r="G198" s="17">
        <v>0</v>
      </c>
      <c r="L198" t="s">
        <v>248</v>
      </c>
      <c r="M198" t="s">
        <v>383</v>
      </c>
    </row>
    <row r="199" spans="1:13">
      <c r="A199" s="15" t="s">
        <v>307</v>
      </c>
      <c r="B199" s="18">
        <v>0</v>
      </c>
      <c r="C199" s="18">
        <v>0</v>
      </c>
      <c r="D199" s="18">
        <v>72238.944349999991</v>
      </c>
      <c r="E199" s="18">
        <v>72238.944349999991</v>
      </c>
      <c r="F199" s="18">
        <v>0</v>
      </c>
      <c r="G199" s="18">
        <v>0</v>
      </c>
      <c r="L199" t="s">
        <v>249</v>
      </c>
      <c r="M199" t="s">
        <v>383</v>
      </c>
    </row>
    <row r="200" spans="1:13">
      <c r="A200" s="14" t="s">
        <v>308</v>
      </c>
      <c r="B200" s="17">
        <v>0</v>
      </c>
      <c r="C200" s="17">
        <v>0</v>
      </c>
      <c r="D200" s="17">
        <v>70896.981349999987</v>
      </c>
      <c r="E200" s="17">
        <v>70896.981349999987</v>
      </c>
      <c r="F200" s="17">
        <v>0</v>
      </c>
      <c r="G200" s="17">
        <v>0</v>
      </c>
      <c r="L200" t="s">
        <v>250</v>
      </c>
      <c r="M200" t="s">
        <v>383</v>
      </c>
    </row>
    <row r="201" spans="1:13">
      <c r="A201" s="14" t="s">
        <v>309</v>
      </c>
      <c r="B201" s="17">
        <v>0</v>
      </c>
      <c r="C201" s="17">
        <v>0</v>
      </c>
      <c r="D201" s="17">
        <v>1341.963</v>
      </c>
      <c r="E201" s="17">
        <v>1341.963</v>
      </c>
      <c r="F201" s="17">
        <v>0</v>
      </c>
      <c r="G201" s="17">
        <v>0</v>
      </c>
      <c r="L201" t="s">
        <v>251</v>
      </c>
    </row>
    <row r="202" spans="1:13">
      <c r="A202" s="14" t="s">
        <v>310</v>
      </c>
      <c r="B202" s="17">
        <v>0</v>
      </c>
      <c r="C202" s="17">
        <v>0</v>
      </c>
      <c r="D202" s="17">
        <v>526230.26694999996</v>
      </c>
      <c r="E202" s="17">
        <v>526230.26694999996</v>
      </c>
      <c r="F202" s="17">
        <v>0</v>
      </c>
      <c r="G202" s="17">
        <v>0</v>
      </c>
      <c r="L202" t="s">
        <v>252</v>
      </c>
      <c r="M202" t="s">
        <v>384</v>
      </c>
    </row>
    <row r="203" spans="1:13">
      <c r="A203" s="13" t="s">
        <v>311</v>
      </c>
      <c r="B203" s="16">
        <v>0</v>
      </c>
      <c r="C203" s="16">
        <v>0</v>
      </c>
      <c r="D203" s="16">
        <v>70905.459000000003</v>
      </c>
      <c r="E203" s="16">
        <v>70905.459000000003</v>
      </c>
      <c r="F203" s="16">
        <v>0</v>
      </c>
      <c r="G203" s="16">
        <v>0</v>
      </c>
      <c r="L203" t="s">
        <v>253</v>
      </c>
      <c r="M203">
        <v>0</v>
      </c>
    </row>
    <row r="204" spans="1:13">
      <c r="A204" s="15" t="s">
        <v>312</v>
      </c>
      <c r="B204" s="18">
        <v>0</v>
      </c>
      <c r="C204" s="18">
        <v>0</v>
      </c>
      <c r="D204" s="18">
        <v>70905.459000000003</v>
      </c>
      <c r="E204" s="18">
        <v>70905.459000000003</v>
      </c>
      <c r="F204" s="18">
        <v>0</v>
      </c>
      <c r="G204" s="18">
        <v>0</v>
      </c>
      <c r="L204" t="s">
        <v>254</v>
      </c>
      <c r="M204" t="s">
        <v>385</v>
      </c>
    </row>
    <row r="205" spans="1:13">
      <c r="A205" s="14" t="s">
        <v>313</v>
      </c>
      <c r="B205" s="17">
        <v>0</v>
      </c>
      <c r="C205" s="17">
        <v>0</v>
      </c>
      <c r="D205" s="17">
        <v>70905.459000000003</v>
      </c>
      <c r="E205" s="17">
        <v>70905.459000000003</v>
      </c>
      <c r="F205" s="17">
        <v>0</v>
      </c>
      <c r="G205" s="17">
        <v>0</v>
      </c>
      <c r="L205" t="s">
        <v>255</v>
      </c>
      <c r="M205" t="e">
        <v>#N/A</v>
      </c>
    </row>
    <row r="206" spans="1:13">
      <c r="A206" s="13" t="s">
        <v>314</v>
      </c>
      <c r="B206" s="16">
        <v>0</v>
      </c>
      <c r="C206" s="16">
        <v>0</v>
      </c>
      <c r="D206" s="16">
        <v>230969685.57266998</v>
      </c>
      <c r="E206" s="16">
        <v>230969685.57266998</v>
      </c>
      <c r="F206" s="16">
        <v>0</v>
      </c>
      <c r="G206" s="16">
        <v>0</v>
      </c>
      <c r="L206" t="s">
        <v>256</v>
      </c>
      <c r="M206" t="s">
        <v>386</v>
      </c>
    </row>
    <row r="207" spans="1:13">
      <c r="A207" s="15" t="s">
        <v>315</v>
      </c>
      <c r="B207" s="18">
        <v>0</v>
      </c>
      <c r="C207" s="18">
        <v>0</v>
      </c>
      <c r="D207" s="18">
        <v>230969685.57266998</v>
      </c>
      <c r="E207" s="18">
        <v>230969685.57266998</v>
      </c>
      <c r="F207" s="18">
        <v>0</v>
      </c>
      <c r="G207" s="18">
        <v>0</v>
      </c>
      <c r="L207" t="s">
        <v>257</v>
      </c>
      <c r="M207" t="s">
        <v>386</v>
      </c>
    </row>
    <row r="208" spans="1:13">
      <c r="A208" s="14" t="s">
        <v>316</v>
      </c>
      <c r="B208" s="17">
        <v>0</v>
      </c>
      <c r="C208" s="17">
        <v>0</v>
      </c>
      <c r="D208" s="17">
        <v>197881311.21351999</v>
      </c>
      <c r="E208" s="17">
        <v>197881311.21351999</v>
      </c>
      <c r="F208" s="17">
        <v>0</v>
      </c>
      <c r="G208" s="17">
        <v>0</v>
      </c>
      <c r="L208" t="s">
        <v>258</v>
      </c>
      <c r="M208" t="s">
        <v>387</v>
      </c>
    </row>
    <row r="209" spans="1:13">
      <c r="A209" s="14" t="s">
        <v>317</v>
      </c>
      <c r="B209" s="17">
        <v>0</v>
      </c>
      <c r="C209" s="17">
        <v>0</v>
      </c>
      <c r="D209" s="17">
        <v>3936142.6406300003</v>
      </c>
      <c r="E209" s="17">
        <v>3936142.6406300003</v>
      </c>
      <c r="F209" s="17">
        <v>0</v>
      </c>
      <c r="G209" s="17">
        <v>0</v>
      </c>
      <c r="L209" t="s">
        <v>259</v>
      </c>
    </row>
    <row r="210" spans="1:13">
      <c r="A210" s="14" t="s">
        <v>318</v>
      </c>
      <c r="B210" s="17">
        <v>0</v>
      </c>
      <c r="C210" s="17">
        <v>0</v>
      </c>
      <c r="D210" s="17">
        <v>7395858.6132800002</v>
      </c>
      <c r="E210" s="17">
        <v>7395858.6132800002</v>
      </c>
      <c r="F210" s="17">
        <v>0</v>
      </c>
      <c r="G210" s="17">
        <v>0</v>
      </c>
      <c r="L210" t="s">
        <v>260</v>
      </c>
      <c r="M210" t="s">
        <v>388</v>
      </c>
    </row>
    <row r="211" spans="1:13">
      <c r="A211" s="14" t="s">
        <v>319</v>
      </c>
      <c r="B211" s="17">
        <v>0</v>
      </c>
      <c r="C211" s="17">
        <v>0</v>
      </c>
      <c r="D211" s="17">
        <v>1045856.2718999999</v>
      </c>
      <c r="E211" s="17">
        <v>1045856.2718999999</v>
      </c>
      <c r="F211" s="17">
        <v>0</v>
      </c>
      <c r="G211" s="17">
        <v>0</v>
      </c>
      <c r="L211" t="s">
        <v>261</v>
      </c>
      <c r="M211" t="e">
        <v>#N/A</v>
      </c>
    </row>
    <row r="212" spans="1:13">
      <c r="A212" s="14" t="s">
        <v>320</v>
      </c>
      <c r="B212" s="17">
        <v>0</v>
      </c>
      <c r="C212" s="17">
        <v>0</v>
      </c>
      <c r="D212" s="17">
        <v>20710516.833340004</v>
      </c>
      <c r="E212" s="17">
        <v>20710516.833340004</v>
      </c>
      <c r="F212" s="17">
        <v>0</v>
      </c>
      <c r="G212" s="17">
        <v>0</v>
      </c>
      <c r="L212" t="s">
        <v>262</v>
      </c>
      <c r="M212" t="e">
        <v>#N/A</v>
      </c>
    </row>
    <row r="213" spans="1:13">
      <c r="A213" s="13" t="s">
        <v>321</v>
      </c>
      <c r="B213" s="16">
        <v>0</v>
      </c>
      <c r="C213" s="16">
        <v>0</v>
      </c>
      <c r="D213" s="16">
        <v>7452498.6293000001</v>
      </c>
      <c r="E213" s="16">
        <v>7452498.6293000001</v>
      </c>
      <c r="F213" s="16">
        <v>0</v>
      </c>
      <c r="G213" s="16">
        <v>0</v>
      </c>
      <c r="L213" t="s">
        <v>263</v>
      </c>
      <c r="M213" t="e">
        <v>#N/A</v>
      </c>
    </row>
    <row r="214" spans="1:13">
      <c r="A214" s="15" t="s">
        <v>322</v>
      </c>
      <c r="B214" s="18">
        <v>0</v>
      </c>
      <c r="C214" s="18">
        <v>0</v>
      </c>
      <c r="D214" s="18">
        <v>7452498.6293000001</v>
      </c>
      <c r="E214" s="18">
        <v>7452498.6293000001</v>
      </c>
      <c r="F214" s="18">
        <v>0</v>
      </c>
      <c r="G214" s="18">
        <v>0</v>
      </c>
      <c r="L214" t="s">
        <v>264</v>
      </c>
      <c r="M214" t="e">
        <v>#N/A</v>
      </c>
    </row>
    <row r="215" spans="1:13">
      <c r="A215" s="14" t="s">
        <v>323</v>
      </c>
      <c r="B215" s="17">
        <v>0</v>
      </c>
      <c r="C215" s="17">
        <v>0</v>
      </c>
      <c r="D215" s="17">
        <v>4285228.1011100002</v>
      </c>
      <c r="E215" s="17">
        <v>4285228.1011100002</v>
      </c>
      <c r="F215" s="17">
        <v>0</v>
      </c>
      <c r="G215" s="17">
        <v>0</v>
      </c>
      <c r="L215" t="s">
        <v>265</v>
      </c>
      <c r="M215" t="e">
        <v>#N/A</v>
      </c>
    </row>
    <row r="216" spans="1:13">
      <c r="A216" s="14" t="s">
        <v>324</v>
      </c>
      <c r="B216" s="17">
        <v>0</v>
      </c>
      <c r="C216" s="17">
        <v>0</v>
      </c>
      <c r="D216" s="17">
        <v>904955.0159</v>
      </c>
      <c r="E216" s="17">
        <v>904955.0159</v>
      </c>
      <c r="F216" s="17">
        <v>0</v>
      </c>
      <c r="G216" s="17">
        <v>0</v>
      </c>
      <c r="L216" t="s">
        <v>266</v>
      </c>
      <c r="M216" t="e">
        <v>#N/A</v>
      </c>
    </row>
    <row r="217" spans="1:13">
      <c r="A217" s="14" t="s">
        <v>325</v>
      </c>
      <c r="B217" s="17">
        <v>0</v>
      </c>
      <c r="C217" s="17">
        <v>0</v>
      </c>
      <c r="D217" s="17">
        <v>1057218.0078700001</v>
      </c>
      <c r="E217" s="17">
        <v>1057218.0078700001</v>
      </c>
      <c r="F217" s="17">
        <v>0</v>
      </c>
      <c r="G217" s="17">
        <v>0</v>
      </c>
    </row>
    <row r="218" spans="1:13">
      <c r="A218" s="14" t="s">
        <v>326</v>
      </c>
      <c r="B218" s="17">
        <v>0</v>
      </c>
      <c r="C218" s="17">
        <v>0</v>
      </c>
      <c r="D218" s="17">
        <v>136880.08637999999</v>
      </c>
      <c r="E218" s="17">
        <v>136880.08637999999</v>
      </c>
      <c r="F218" s="17">
        <v>0</v>
      </c>
      <c r="G218" s="17">
        <v>0</v>
      </c>
    </row>
    <row r="219" spans="1:13">
      <c r="A219" s="14" t="s">
        <v>327</v>
      </c>
      <c r="B219" s="17">
        <v>0</v>
      </c>
      <c r="C219" s="17">
        <v>0</v>
      </c>
      <c r="D219" s="17">
        <v>1068217.4180399999</v>
      </c>
      <c r="E219" s="17">
        <v>1068217.4180399999</v>
      </c>
      <c r="F219" s="17">
        <v>0</v>
      </c>
      <c r="G219" s="17">
        <v>0</v>
      </c>
    </row>
    <row r="220" spans="1:13">
      <c r="A220" s="13" t="s">
        <v>328</v>
      </c>
      <c r="B220" s="16">
        <v>0</v>
      </c>
      <c r="C220" s="16">
        <v>0</v>
      </c>
      <c r="D220" s="16">
        <v>9149679.05944</v>
      </c>
      <c r="E220" s="16">
        <v>9149679.05944</v>
      </c>
      <c r="F220" s="16">
        <v>0</v>
      </c>
      <c r="G220" s="16">
        <v>0</v>
      </c>
    </row>
    <row r="221" spans="1:13">
      <c r="A221" s="15" t="s">
        <v>329</v>
      </c>
      <c r="B221" s="18">
        <v>0</v>
      </c>
      <c r="C221" s="18">
        <v>0</v>
      </c>
      <c r="D221" s="18">
        <v>9149679.05944</v>
      </c>
      <c r="E221" s="18">
        <v>9149679.05944</v>
      </c>
      <c r="F221" s="18">
        <v>0</v>
      </c>
      <c r="G221" s="18">
        <v>0</v>
      </c>
    </row>
    <row r="222" spans="1:13">
      <c r="A222" s="14" t="s">
        <v>330</v>
      </c>
      <c r="B222" s="17">
        <v>0</v>
      </c>
      <c r="C222" s="17">
        <v>0</v>
      </c>
      <c r="D222" s="17">
        <v>2872494.2822099999</v>
      </c>
      <c r="E222" s="17">
        <v>2872494.2822099999</v>
      </c>
      <c r="F222" s="17">
        <v>0</v>
      </c>
      <c r="G222" s="17">
        <v>0</v>
      </c>
    </row>
    <row r="223" spans="1:13">
      <c r="A223" s="14" t="s">
        <v>331</v>
      </c>
      <c r="B223" s="17">
        <v>0</v>
      </c>
      <c r="C223" s="17">
        <v>0</v>
      </c>
      <c r="D223" s="17">
        <v>35859.854899999998</v>
      </c>
      <c r="E223" s="17">
        <v>35859.854899999998</v>
      </c>
      <c r="F223" s="17">
        <v>0</v>
      </c>
      <c r="G223" s="17">
        <v>0</v>
      </c>
    </row>
    <row r="224" spans="1:13">
      <c r="A224" s="14" t="s">
        <v>332</v>
      </c>
      <c r="B224" s="17">
        <v>0</v>
      </c>
      <c r="C224" s="17">
        <v>0</v>
      </c>
      <c r="D224" s="17">
        <v>454599.24447000003</v>
      </c>
      <c r="E224" s="17">
        <v>454599.24447000003</v>
      </c>
      <c r="F224" s="17">
        <v>0</v>
      </c>
      <c r="G224" s="17">
        <v>0</v>
      </c>
    </row>
    <row r="225" spans="1:15">
      <c r="A225" s="14" t="s">
        <v>333</v>
      </c>
      <c r="B225" s="17">
        <v>0</v>
      </c>
      <c r="C225" s="17">
        <v>0</v>
      </c>
      <c r="D225" s="17">
        <v>47569.915649999995</v>
      </c>
      <c r="E225" s="17">
        <v>47569.915649999995</v>
      </c>
      <c r="F225" s="17">
        <v>0</v>
      </c>
      <c r="G225" s="17">
        <v>0</v>
      </c>
    </row>
    <row r="226" spans="1:15">
      <c r="A226" s="14" t="s">
        <v>334</v>
      </c>
      <c r="B226" s="17">
        <v>0</v>
      </c>
      <c r="C226" s="17">
        <v>0</v>
      </c>
      <c r="D226" s="17">
        <v>1660429.9921800001</v>
      </c>
      <c r="E226" s="17">
        <v>1660429.9921800001</v>
      </c>
      <c r="F226" s="17">
        <v>0</v>
      </c>
      <c r="G226" s="17">
        <v>0</v>
      </c>
    </row>
    <row r="227" spans="1:15">
      <c r="A227" s="14" t="s">
        <v>335</v>
      </c>
      <c r="B227" s="17">
        <v>0</v>
      </c>
      <c r="C227" s="17">
        <v>0</v>
      </c>
      <c r="D227" s="17">
        <v>3663315.0348700006</v>
      </c>
      <c r="E227" s="17">
        <v>3663315.0348700006</v>
      </c>
      <c r="F227" s="17">
        <v>0</v>
      </c>
      <c r="G227" s="17">
        <v>0</v>
      </c>
    </row>
    <row r="228" spans="1:15">
      <c r="A228" s="14" t="s">
        <v>336</v>
      </c>
      <c r="B228" s="17">
        <v>0</v>
      </c>
      <c r="C228" s="17">
        <v>0</v>
      </c>
      <c r="D228" s="17">
        <v>406.96429000000001</v>
      </c>
      <c r="E228" s="17">
        <v>406.96429000000001</v>
      </c>
      <c r="F228" s="17">
        <v>0</v>
      </c>
      <c r="G228" s="17">
        <v>0</v>
      </c>
    </row>
    <row r="229" spans="1:15">
      <c r="A229" s="14" t="s">
        <v>337</v>
      </c>
      <c r="B229" s="17">
        <v>0</v>
      </c>
      <c r="C229" s="17">
        <v>0</v>
      </c>
      <c r="D229" s="17">
        <v>415003.77087000001</v>
      </c>
      <c r="E229" s="17">
        <v>415003.77087000001</v>
      </c>
      <c r="F229" s="17">
        <v>0</v>
      </c>
      <c r="G229" s="17">
        <v>0</v>
      </c>
    </row>
    <row r="230" spans="1:15">
      <c r="A230" s="8" t="s">
        <v>338</v>
      </c>
      <c r="B230" s="22">
        <v>103039253.61306</v>
      </c>
      <c r="C230" s="22">
        <v>103039253.61306</v>
      </c>
      <c r="D230" s="22">
        <v>1229666686.16571</v>
      </c>
      <c r="E230" s="22">
        <v>1229666686.16571</v>
      </c>
      <c r="F230" s="22">
        <v>95720201.334000006</v>
      </c>
      <c r="G230" s="22">
        <v>95720201.334000006</v>
      </c>
    </row>
    <row r="231" spans="1:15">
      <c r="H231" s="126"/>
    </row>
    <row r="232" spans="1:15">
      <c r="F232" s="5"/>
      <c r="H232" s="25">
        <f>SUBTOTAL(9,H28:H50)</f>
        <v>9380272.0675899982</v>
      </c>
      <c r="I232" s="25">
        <f>SUBTOTAL(9,I28:I50)</f>
        <v>14569200.36232</v>
      </c>
      <c r="J232" s="5">
        <f>I232-H232</f>
        <v>5188928.2947300021</v>
      </c>
    </row>
    <row r="233" spans="1:15">
      <c r="F233" s="5"/>
      <c r="H233" s="126"/>
    </row>
    <row r="234" spans="1:15">
      <c r="A234" s="27" t="s">
        <v>342</v>
      </c>
      <c r="B234" s="28" t="s">
        <v>343</v>
      </c>
      <c r="C234" s="28" t="s">
        <v>54</v>
      </c>
      <c r="D234" s="28" t="s">
        <v>55</v>
      </c>
    </row>
    <row r="235" spans="1:15" ht="24">
      <c r="A235" s="29">
        <v>5710</v>
      </c>
      <c r="B235" s="30" t="s">
        <v>344</v>
      </c>
      <c r="C235" s="31"/>
      <c r="D235" s="31"/>
    </row>
    <row r="236" spans="1:15">
      <c r="A236" s="33"/>
      <c r="B236" s="32">
        <v>5610</v>
      </c>
      <c r="C236" s="36">
        <v>27150640.678860001</v>
      </c>
      <c r="D236" s="36">
        <v>0</v>
      </c>
    </row>
    <row r="237" spans="1:15">
      <c r="A237" s="33"/>
      <c r="B237" s="32">
        <v>5710</v>
      </c>
      <c r="C237" s="37">
        <v>-588180.90575999999</v>
      </c>
      <c r="D237" s="37">
        <v>-588180.90575999999</v>
      </c>
      <c r="F237" s="5"/>
      <c r="G237" s="5"/>
    </row>
    <row r="238" spans="1:15">
      <c r="A238" s="33"/>
      <c r="B238" s="32">
        <v>6010</v>
      </c>
      <c r="C238" s="36">
        <v>0</v>
      </c>
      <c r="D238" s="36">
        <v>43237827.189110011</v>
      </c>
      <c r="E238" s="5"/>
      <c r="F238" s="5"/>
      <c r="G238" s="5"/>
      <c r="I238" s="5">
        <f>C238-D238</f>
        <v>-43237827.189110011</v>
      </c>
      <c r="J238" t="s">
        <v>347</v>
      </c>
      <c r="L238" s="294"/>
      <c r="O238" s="39" t="s">
        <v>347</v>
      </c>
    </row>
    <row r="239" spans="1:15" hidden="1">
      <c r="A239" s="33"/>
      <c r="B239" s="32">
        <v>6110</v>
      </c>
      <c r="C239" s="36">
        <v>0</v>
      </c>
      <c r="D239" s="36">
        <v>1805267.7262099998</v>
      </c>
      <c r="E239" s="5"/>
      <c r="I239" s="5">
        <f t="shared" ref="I239:I265" si="12">C239-D239</f>
        <v>-1805267.7262099998</v>
      </c>
      <c r="J239" t="s">
        <v>357</v>
      </c>
      <c r="L239" s="294"/>
      <c r="O239" s="39" t="s">
        <v>348</v>
      </c>
    </row>
    <row r="240" spans="1:15" hidden="1">
      <c r="A240" s="33"/>
      <c r="B240" s="32">
        <v>6160</v>
      </c>
      <c r="C240" s="36">
        <v>0</v>
      </c>
      <c r="D240" s="37">
        <v>-241517.61960000001</v>
      </c>
      <c r="E240" s="5"/>
      <c r="I240" s="5">
        <f t="shared" si="12"/>
        <v>241517.61960000001</v>
      </c>
      <c r="J240" t="s">
        <v>357</v>
      </c>
      <c r="L240" s="294"/>
      <c r="O240" s="40" t="s">
        <v>349</v>
      </c>
    </row>
    <row r="241" spans="1:15" hidden="1">
      <c r="A241" s="33"/>
      <c r="B241" s="32">
        <v>6210</v>
      </c>
      <c r="C241" s="36">
        <v>0</v>
      </c>
      <c r="D241" s="36">
        <v>164113.66389</v>
      </c>
      <c r="E241" s="5"/>
      <c r="I241" s="5">
        <f t="shared" si="12"/>
        <v>-164113.66389</v>
      </c>
      <c r="J241" s="39" t="s">
        <v>352</v>
      </c>
      <c r="L241" s="294"/>
      <c r="O241" s="39"/>
    </row>
    <row r="242" spans="1:15" hidden="1">
      <c r="A242" s="33"/>
      <c r="B242" s="32">
        <v>6220</v>
      </c>
      <c r="C242" s="36">
        <v>0</v>
      </c>
      <c r="D242" s="36">
        <v>94.447600000000008</v>
      </c>
      <c r="I242" s="5">
        <f t="shared" si="12"/>
        <v>-94.447600000000008</v>
      </c>
      <c r="J242" t="s">
        <v>352</v>
      </c>
      <c r="L242" s="294"/>
      <c r="O242" s="39" t="s">
        <v>350</v>
      </c>
    </row>
    <row r="243" spans="1:15" hidden="1">
      <c r="A243" s="34"/>
      <c r="B243" s="32">
        <v>6251</v>
      </c>
      <c r="C243" s="36">
        <v>0</v>
      </c>
      <c r="D243" s="36">
        <v>21436586.685689997</v>
      </c>
      <c r="I243" s="5">
        <f t="shared" si="12"/>
        <v>-21436586.685689997</v>
      </c>
      <c r="J243" t="s">
        <v>355</v>
      </c>
      <c r="L243" s="294"/>
      <c r="O243" s="39" t="s">
        <v>351</v>
      </c>
    </row>
    <row r="244" spans="1:15" hidden="1">
      <c r="A244" s="34"/>
      <c r="B244" s="32">
        <v>6252</v>
      </c>
      <c r="C244" s="36">
        <v>0</v>
      </c>
      <c r="D244" s="36">
        <v>9317.0712299999996</v>
      </c>
      <c r="I244" s="5">
        <f t="shared" si="12"/>
        <v>-9317.0712299999996</v>
      </c>
      <c r="J244" t="s">
        <v>355</v>
      </c>
      <c r="L244" s="294"/>
      <c r="O244" s="39" t="s">
        <v>352</v>
      </c>
    </row>
    <row r="245" spans="1:15" hidden="1">
      <c r="A245" s="33"/>
      <c r="B245" s="32">
        <v>6260</v>
      </c>
      <c r="C245" s="36">
        <v>0</v>
      </c>
      <c r="D245" s="36">
        <v>105459.61890999999</v>
      </c>
      <c r="I245" s="5">
        <f t="shared" si="12"/>
        <v>-105459.61890999999</v>
      </c>
      <c r="J245" t="s">
        <v>352</v>
      </c>
      <c r="L245" s="294"/>
      <c r="O245" s="39" t="s">
        <v>353</v>
      </c>
    </row>
    <row r="246" spans="1:15" hidden="1">
      <c r="A246" s="33"/>
      <c r="B246" s="32">
        <v>6290</v>
      </c>
      <c r="C246" s="36">
        <v>0</v>
      </c>
      <c r="D246" s="36">
        <v>18070158.549469996</v>
      </c>
      <c r="I246" s="5">
        <f t="shared" si="12"/>
        <v>-18070158.549469996</v>
      </c>
      <c r="J246" t="s">
        <v>352</v>
      </c>
      <c r="L246" s="294"/>
      <c r="O246" s="39" t="s">
        <v>354</v>
      </c>
    </row>
    <row r="247" spans="1:15" hidden="1">
      <c r="A247" s="33"/>
      <c r="B247" s="32">
        <v>6310</v>
      </c>
      <c r="C247" s="36">
        <v>0</v>
      </c>
      <c r="D247" s="36">
        <v>256.28100000000001</v>
      </c>
      <c r="I247" s="5">
        <f t="shared" si="12"/>
        <v>-256.28100000000001</v>
      </c>
      <c r="J247" t="s">
        <v>352</v>
      </c>
      <c r="L247" s="294"/>
      <c r="O247" s="39" t="s">
        <v>355</v>
      </c>
    </row>
    <row r="248" spans="1:15" hidden="1">
      <c r="A248" s="33"/>
      <c r="B248" s="32">
        <v>7010</v>
      </c>
      <c r="C248" s="36">
        <v>29159704.113900002</v>
      </c>
      <c r="D248" s="36">
        <v>0</v>
      </c>
      <c r="I248" s="5">
        <f t="shared" si="12"/>
        <v>29159704.113900002</v>
      </c>
      <c r="J248" t="s">
        <v>348</v>
      </c>
      <c r="L248" s="294"/>
      <c r="O248" s="40" t="s">
        <v>356</v>
      </c>
    </row>
    <row r="249" spans="1:15" hidden="1">
      <c r="A249" s="33"/>
      <c r="B249" s="32">
        <v>7110</v>
      </c>
      <c r="C249" s="36">
        <v>504850.40257999999</v>
      </c>
      <c r="D249" s="36">
        <v>0</v>
      </c>
      <c r="I249" s="5">
        <f t="shared" si="12"/>
        <v>504850.40257999999</v>
      </c>
      <c r="J249" t="s">
        <v>350</v>
      </c>
      <c r="L249" s="294"/>
      <c r="O249" s="39"/>
    </row>
    <row r="250" spans="1:15">
      <c r="A250" s="34"/>
      <c r="B250" s="32">
        <v>7211</v>
      </c>
      <c r="C250" s="36">
        <v>3649915.5059500001</v>
      </c>
      <c r="D250" s="36">
        <v>0</v>
      </c>
      <c r="I250" s="5">
        <f t="shared" si="12"/>
        <v>3649915.5059500001</v>
      </c>
      <c r="J250" t="s">
        <v>351</v>
      </c>
      <c r="L250" s="294"/>
      <c r="O250" s="39" t="s">
        <v>357</v>
      </c>
    </row>
    <row r="251" spans="1:15">
      <c r="A251" s="34"/>
      <c r="B251" s="32">
        <v>7212</v>
      </c>
      <c r="C251" s="36">
        <v>121915.43723000001</v>
      </c>
      <c r="D251" s="36">
        <v>0</v>
      </c>
      <c r="I251" s="5">
        <f t="shared" si="12"/>
        <v>121915.43723000001</v>
      </c>
      <c r="J251" t="s">
        <v>351</v>
      </c>
      <c r="L251" s="294"/>
      <c r="O251" s="39" t="s">
        <v>358</v>
      </c>
    </row>
    <row r="252" spans="1:15">
      <c r="A252" s="34"/>
      <c r="B252" s="32">
        <v>7213</v>
      </c>
      <c r="C252" s="36">
        <v>8632.95651</v>
      </c>
      <c r="D252" s="36">
        <v>0</v>
      </c>
      <c r="I252" s="5">
        <f t="shared" si="12"/>
        <v>8632.95651</v>
      </c>
      <c r="J252" t="s">
        <v>351</v>
      </c>
      <c r="L252" s="294"/>
      <c r="O252" s="40"/>
    </row>
    <row r="253" spans="1:15" hidden="1">
      <c r="A253" s="34"/>
      <c r="B253" s="32">
        <v>7311</v>
      </c>
      <c r="C253" s="36">
        <v>2104308.0510100001</v>
      </c>
      <c r="D253" s="36">
        <v>0</v>
      </c>
      <c r="I253" s="5">
        <f t="shared" si="12"/>
        <v>2104308.0510100001</v>
      </c>
      <c r="J253" t="s">
        <v>358</v>
      </c>
      <c r="L253" s="294"/>
      <c r="O253" s="39"/>
    </row>
    <row r="254" spans="1:15" hidden="1">
      <c r="A254" s="33"/>
      <c r="B254" s="32">
        <v>7410</v>
      </c>
      <c r="C254" s="36">
        <v>102572.71923999999</v>
      </c>
      <c r="D254" s="36">
        <v>0</v>
      </c>
      <c r="I254" s="5">
        <f t="shared" si="12"/>
        <v>102572.71923999999</v>
      </c>
      <c r="J254" t="s">
        <v>353</v>
      </c>
      <c r="L254" s="294"/>
      <c r="O254" s="39" t="s">
        <v>359</v>
      </c>
    </row>
    <row r="255" spans="1:15" hidden="1">
      <c r="A255" s="34"/>
      <c r="B255" s="32">
        <v>7425</v>
      </c>
      <c r="C255" s="36">
        <v>118176.61868000001</v>
      </c>
      <c r="D255" s="36">
        <v>0</v>
      </c>
      <c r="I255" s="5">
        <f t="shared" si="12"/>
        <v>118176.61868000001</v>
      </c>
      <c r="J255" t="s">
        <v>354</v>
      </c>
      <c r="L255" s="294"/>
    </row>
    <row r="256" spans="1:15" hidden="1">
      <c r="A256" s="34"/>
      <c r="B256" s="32">
        <v>7431</v>
      </c>
      <c r="C256" s="36">
        <v>20961279.772920001</v>
      </c>
      <c r="D256" s="36">
        <v>0</v>
      </c>
      <c r="I256" s="5">
        <f t="shared" si="12"/>
        <v>20961279.772920001</v>
      </c>
      <c r="J256" t="s">
        <v>355</v>
      </c>
      <c r="L256" s="294"/>
    </row>
    <row r="257" spans="1:12" hidden="1">
      <c r="A257" s="34"/>
      <c r="B257" s="32">
        <v>7432</v>
      </c>
      <c r="C257" s="36">
        <v>334736.32410000003</v>
      </c>
      <c r="D257" s="36">
        <v>0</v>
      </c>
      <c r="I257" s="5">
        <f t="shared" si="12"/>
        <v>334736.32410000003</v>
      </c>
      <c r="J257" t="s">
        <v>355</v>
      </c>
      <c r="L257" s="294"/>
    </row>
    <row r="258" spans="1:12" hidden="1">
      <c r="A258" s="34"/>
      <c r="B258" s="32">
        <v>7441</v>
      </c>
      <c r="C258" s="36">
        <v>23.393330000000002</v>
      </c>
      <c r="D258" s="36">
        <v>0</v>
      </c>
      <c r="I258" s="5">
        <f t="shared" si="12"/>
        <v>23.393330000000002</v>
      </c>
      <c r="J258" t="s">
        <v>354</v>
      </c>
      <c r="L258" s="294"/>
    </row>
    <row r="259" spans="1:12" hidden="1">
      <c r="A259" s="34"/>
      <c r="B259" s="32">
        <v>7443</v>
      </c>
      <c r="C259" s="36">
        <v>22393.091469999999</v>
      </c>
      <c r="D259" s="36">
        <v>0</v>
      </c>
      <c r="I259" s="5">
        <f t="shared" si="12"/>
        <v>22393.091469999999</v>
      </c>
      <c r="J259" t="s">
        <v>354</v>
      </c>
      <c r="L259" s="294"/>
    </row>
    <row r="260" spans="1:12" hidden="1">
      <c r="A260" s="34"/>
      <c r="B260" s="32">
        <v>7444</v>
      </c>
      <c r="C260" s="36">
        <v>44057.221450000005</v>
      </c>
      <c r="D260" s="36">
        <v>0</v>
      </c>
      <c r="I260" s="5">
        <f t="shared" si="12"/>
        <v>44057.221450000005</v>
      </c>
      <c r="J260" t="s">
        <v>354</v>
      </c>
      <c r="L260" s="294"/>
    </row>
    <row r="261" spans="1:12" hidden="1">
      <c r="A261" s="34"/>
      <c r="B261" s="32">
        <v>7447</v>
      </c>
      <c r="C261" s="37">
        <v>-364416.30539999995</v>
      </c>
      <c r="D261" s="36">
        <v>0</v>
      </c>
      <c r="I261" s="5">
        <f t="shared" si="12"/>
        <v>-364416.30539999995</v>
      </c>
      <c r="J261" t="s">
        <v>354</v>
      </c>
      <c r="L261" s="294"/>
    </row>
    <row r="262" spans="1:12" hidden="1">
      <c r="A262" s="34"/>
      <c r="B262" s="32">
        <v>7451</v>
      </c>
      <c r="C262" s="36">
        <v>70896.981349999987</v>
      </c>
      <c r="D262" s="36">
        <v>0</v>
      </c>
      <c r="I262" s="5">
        <f t="shared" si="12"/>
        <v>70896.981349999987</v>
      </c>
      <c r="J262" t="str">
        <f>O245</f>
        <v>Прочие операционные расходы</v>
      </c>
      <c r="L262" s="294"/>
    </row>
    <row r="263" spans="1:12" hidden="1">
      <c r="A263" s="34"/>
      <c r="B263" s="32">
        <v>7452</v>
      </c>
      <c r="C263" s="36">
        <v>1341.963</v>
      </c>
      <c r="D263" s="36">
        <v>0</v>
      </c>
      <c r="I263" s="5">
        <f t="shared" si="12"/>
        <v>1341.963</v>
      </c>
      <c r="J263" t="str">
        <f>J262</f>
        <v>Прочие операционные расходы</v>
      </c>
      <c r="L263" s="153"/>
    </row>
    <row r="264" spans="1:12" hidden="1">
      <c r="A264" s="33"/>
      <c r="B264" s="32">
        <v>7480</v>
      </c>
      <c r="C264" s="36">
        <v>525629.22832999995</v>
      </c>
      <c r="D264" s="36">
        <v>0</v>
      </c>
      <c r="I264" s="5">
        <f t="shared" si="12"/>
        <v>525629.22832999995</v>
      </c>
      <c r="J264" t="str">
        <f>J263</f>
        <v>Прочие операционные расходы</v>
      </c>
      <c r="L264" s="153"/>
    </row>
    <row r="265" spans="1:12" hidden="1">
      <c r="A265" s="34"/>
      <c r="B265" s="32">
        <v>7711</v>
      </c>
      <c r="C265" s="36">
        <v>70905.459000000003</v>
      </c>
      <c r="D265" s="36">
        <v>0</v>
      </c>
      <c r="I265" s="5">
        <f t="shared" si="12"/>
        <v>70905.459000000003</v>
      </c>
      <c r="J265" t="s">
        <v>359</v>
      </c>
      <c r="L265" s="153"/>
    </row>
    <row r="266" spans="1:12" hidden="1">
      <c r="A266" s="35"/>
      <c r="B266" s="30" t="s">
        <v>345</v>
      </c>
      <c r="C266" s="38">
        <v>83999382.707749993</v>
      </c>
      <c r="D266" s="38">
        <v>83999382.707749993</v>
      </c>
      <c r="L266" s="153"/>
    </row>
    <row r="267" spans="1:12" ht="24" hidden="1">
      <c r="A267" s="35"/>
      <c r="B267" s="30" t="s">
        <v>346</v>
      </c>
      <c r="C267" s="31"/>
      <c r="D267" s="31"/>
      <c r="L267" s="153"/>
    </row>
    <row r="268" spans="1:12">
      <c r="L268" s="153"/>
    </row>
    <row r="269" spans="1:12">
      <c r="A269" s="521" t="s">
        <v>396</v>
      </c>
      <c r="B269" s="522"/>
      <c r="C269" s="522"/>
      <c r="D269" s="522"/>
      <c r="F269" s="537" t="s">
        <v>44</v>
      </c>
      <c r="G269" s="538"/>
      <c r="H269" s="538"/>
      <c r="I269" s="538">
        <v>-1035177.2160199999</v>
      </c>
      <c r="J269" s="5">
        <f>I254+I262+I263+I264</f>
        <v>700440.89191999985</v>
      </c>
      <c r="L269" s="153"/>
    </row>
    <row r="270" spans="1:12" ht="15.75">
      <c r="A270" s="523" t="s">
        <v>2504</v>
      </c>
      <c r="B270" s="522"/>
      <c r="C270" s="522"/>
      <c r="D270" s="522"/>
      <c r="F270" s="539" t="s">
        <v>2504</v>
      </c>
      <c r="G270" s="538"/>
      <c r="H270" s="538"/>
      <c r="I270" s="538"/>
      <c r="J270" s="5">
        <f>J269+I269</f>
        <v>-334736.32410000009</v>
      </c>
      <c r="L270" s="153"/>
    </row>
    <row r="271" spans="1:12">
      <c r="A271" s="522" t="s">
        <v>46</v>
      </c>
      <c r="B271" s="522" t="s">
        <v>47</v>
      </c>
      <c r="C271" s="522"/>
      <c r="D271" s="522"/>
      <c r="F271" s="538" t="s">
        <v>46</v>
      </c>
      <c r="G271" s="538" t="s">
        <v>47</v>
      </c>
      <c r="H271" s="538"/>
      <c r="I271" s="538"/>
    </row>
    <row r="272" spans="1:12">
      <c r="A272" s="522" t="s">
        <v>48</v>
      </c>
      <c r="B272" s="522" t="s">
        <v>2505</v>
      </c>
      <c r="C272" s="522"/>
      <c r="D272" s="522"/>
      <c r="F272" s="540" t="s">
        <v>342</v>
      </c>
      <c r="G272" s="541" t="s">
        <v>343</v>
      </c>
      <c r="H272" s="541" t="s">
        <v>54</v>
      </c>
      <c r="I272" s="541" t="s">
        <v>55</v>
      </c>
    </row>
    <row r="273" spans="1:10">
      <c r="A273" s="524" t="s">
        <v>342</v>
      </c>
      <c r="B273" s="525" t="s">
        <v>343</v>
      </c>
      <c r="C273" s="525" t="s">
        <v>54</v>
      </c>
      <c r="D273" s="525" t="s">
        <v>55</v>
      </c>
      <c r="F273" s="535">
        <v>1410</v>
      </c>
      <c r="G273" s="536" t="s">
        <v>344</v>
      </c>
      <c r="H273" s="543">
        <v>20780.718410000001</v>
      </c>
      <c r="I273" s="543">
        <v>0</v>
      </c>
    </row>
    <row r="274" spans="1:10" ht="24">
      <c r="A274" s="526">
        <v>1410</v>
      </c>
      <c r="B274" s="527" t="s">
        <v>344</v>
      </c>
      <c r="C274" s="528"/>
      <c r="D274" s="528"/>
      <c r="F274" s="542"/>
      <c r="G274" s="530">
        <v>1000</v>
      </c>
      <c r="H274" s="544">
        <v>144732.43400000001</v>
      </c>
      <c r="I274" s="544">
        <v>0</v>
      </c>
    </row>
    <row r="275" spans="1:10">
      <c r="A275" s="529"/>
      <c r="B275" s="530">
        <v>1200</v>
      </c>
      <c r="C275" s="533">
        <v>6171.89851</v>
      </c>
      <c r="D275" s="533">
        <v>0</v>
      </c>
      <c r="F275" s="542"/>
      <c r="G275" s="530">
        <v>1030</v>
      </c>
      <c r="H275" s="544">
        <v>144732.43400000001</v>
      </c>
      <c r="I275" s="544">
        <v>0</v>
      </c>
    </row>
    <row r="276" spans="1:10">
      <c r="A276" s="531"/>
      <c r="B276" s="530">
        <v>1270</v>
      </c>
      <c r="C276" s="533">
        <v>6171.89851</v>
      </c>
      <c r="D276" s="533">
        <v>0</v>
      </c>
      <c r="F276" s="542"/>
      <c r="G276" s="530">
        <v>3100</v>
      </c>
      <c r="H276" s="544">
        <v>0</v>
      </c>
      <c r="I276" s="544">
        <v>71348.35229000001</v>
      </c>
    </row>
    <row r="277" spans="1:10">
      <c r="A277" s="529"/>
      <c r="B277" s="530">
        <v>3100</v>
      </c>
      <c r="C277" s="533">
        <v>2.2000000000000001E-4</v>
      </c>
      <c r="D277" s="533">
        <v>0</v>
      </c>
      <c r="F277" s="542"/>
      <c r="G277" s="530">
        <v>3110</v>
      </c>
      <c r="H277" s="544">
        <v>0</v>
      </c>
      <c r="I277" s="544">
        <v>70905.459000000003</v>
      </c>
    </row>
    <row r="278" spans="1:10">
      <c r="A278" s="531"/>
      <c r="B278" s="530">
        <v>3110</v>
      </c>
      <c r="C278" s="533">
        <v>2.2000000000000001E-4</v>
      </c>
      <c r="D278" s="533">
        <v>0</v>
      </c>
      <c r="F278" s="542"/>
      <c r="G278" s="530">
        <v>3190</v>
      </c>
      <c r="H278" s="544">
        <v>0</v>
      </c>
      <c r="I278" s="544">
        <v>442.89328999999998</v>
      </c>
    </row>
    <row r="279" spans="1:10">
      <c r="A279" s="532"/>
      <c r="B279" s="527" t="s">
        <v>345</v>
      </c>
      <c r="C279" s="534">
        <v>6171.8987300000008</v>
      </c>
      <c r="D279" s="534">
        <v>0</v>
      </c>
      <c r="F279" s="542"/>
      <c r="G279" s="530">
        <v>3191</v>
      </c>
      <c r="H279" s="544">
        <v>0</v>
      </c>
      <c r="I279" s="544">
        <v>442.89328999999998</v>
      </c>
    </row>
    <row r="280" spans="1:10" ht="24">
      <c r="A280" s="532"/>
      <c r="B280" s="527" t="s">
        <v>346</v>
      </c>
      <c r="C280" s="534">
        <v>6171.8987300000008</v>
      </c>
      <c r="D280" s="534">
        <v>0</v>
      </c>
      <c r="F280" s="536"/>
      <c r="G280" s="536" t="s">
        <v>345</v>
      </c>
      <c r="H280" s="543">
        <v>144732.43400000001</v>
      </c>
      <c r="I280" s="543">
        <v>71348.35229000001</v>
      </c>
    </row>
    <row r="281" spans="1:10">
      <c r="F281" s="536"/>
      <c r="G281" s="536" t="s">
        <v>346</v>
      </c>
      <c r="H281" s="543">
        <v>94164.80012</v>
      </c>
      <c r="I281" s="543">
        <v>0</v>
      </c>
    </row>
    <row r="283" spans="1:10">
      <c r="I283" s="5"/>
    </row>
    <row r="284" spans="1:10">
      <c r="H284" s="5">
        <f>H65+H89+H90+H91</f>
        <v>1499586.1078799998</v>
      </c>
      <c r="I284" s="5">
        <f>I65+I89+I90+I91</f>
        <v>1344753.3521099999</v>
      </c>
      <c r="J284" s="5"/>
    </row>
  </sheetData>
  <autoFilter ref="A238:O267">
    <filterColumn colId="9">
      <filters>
        <filter val="Общие и административные расходы"/>
      </filters>
    </filterColumn>
  </autoFilter>
  <mergeCells count="4">
    <mergeCell ref="A5:A6"/>
    <mergeCell ref="B5:C5"/>
    <mergeCell ref="D5:E5"/>
    <mergeCell ref="F5:G5"/>
  </mergeCells>
  <pageMargins left="0.7" right="0.7" top="0.75" bottom="0.75" header="0.3" footer="0.3"/>
  <pageSetup paperSize="9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zoomScale="80" zoomScaleNormal="80" workbookViewId="0">
      <selection activeCell="A3" sqref="A3"/>
    </sheetView>
  </sheetViews>
  <sheetFormatPr defaultRowHeight="15"/>
  <cols>
    <col min="4" max="4" width="16.28515625" customWidth="1"/>
    <col min="6" max="6" width="16.42578125" customWidth="1"/>
    <col min="10" max="10" width="24.28515625" customWidth="1"/>
    <col min="11" max="12" width="10.42578125" bestFit="1" customWidth="1"/>
    <col min="14" max="14" width="10.42578125" bestFit="1" customWidth="1"/>
  </cols>
  <sheetData>
    <row r="2" spans="1:14">
      <c r="A2" s="124">
        <v>26</v>
      </c>
      <c r="B2" s="124" t="s">
        <v>2444</v>
      </c>
      <c r="H2" s="153"/>
      <c r="I2" s="153"/>
      <c r="J2" s="153"/>
      <c r="K2" s="153"/>
      <c r="L2" s="153"/>
    </row>
    <row r="3" spans="1:14">
      <c r="F3" s="124"/>
      <c r="H3" s="153"/>
      <c r="I3" s="153"/>
      <c r="J3" s="153"/>
      <c r="K3" s="153"/>
      <c r="L3" s="153"/>
    </row>
    <row r="4" spans="1:14" s="267" customFormat="1">
      <c r="D4" s="290" t="s">
        <v>3227</v>
      </c>
      <c r="E4" s="124"/>
      <c r="F4" s="290" t="s">
        <v>3228</v>
      </c>
      <c r="H4" s="666"/>
      <c r="I4" s="666"/>
      <c r="J4" s="666"/>
      <c r="K4" s="666"/>
      <c r="L4" s="666"/>
    </row>
    <row r="5" spans="1:14">
      <c r="B5" t="s">
        <v>2445</v>
      </c>
      <c r="D5" s="5">
        <v>767441</v>
      </c>
      <c r="F5" s="126">
        <v>156165</v>
      </c>
      <c r="H5" s="628"/>
      <c r="I5" s="632"/>
      <c r="J5" s="153"/>
      <c r="K5" s="442"/>
      <c r="L5" s="442"/>
      <c r="M5" s="5"/>
      <c r="N5" s="5"/>
    </row>
    <row r="6" spans="1:14">
      <c r="B6" t="s">
        <v>2446</v>
      </c>
      <c r="D6" s="5">
        <v>79457</v>
      </c>
      <c r="F6" s="126">
        <v>50850</v>
      </c>
      <c r="H6" s="628"/>
      <c r="I6" s="632"/>
      <c r="J6" s="153"/>
      <c r="K6" s="442"/>
      <c r="L6" s="442"/>
      <c r="M6" s="5"/>
      <c r="N6" s="5"/>
    </row>
    <row r="7" spans="1:14">
      <c r="B7" t="s">
        <v>2127</v>
      </c>
      <c r="D7" s="5">
        <v>51028</v>
      </c>
      <c r="F7" s="126">
        <v>78235</v>
      </c>
      <c r="H7" s="628"/>
      <c r="I7" s="632"/>
      <c r="J7" s="153"/>
      <c r="K7" s="442"/>
      <c r="L7" s="442"/>
      <c r="M7" s="5"/>
      <c r="N7" s="5"/>
    </row>
    <row r="8" spans="1:14">
      <c r="B8" t="s">
        <v>2452</v>
      </c>
      <c r="D8" s="5">
        <v>50752</v>
      </c>
      <c r="F8" s="126">
        <v>21460</v>
      </c>
      <c r="H8" s="628"/>
      <c r="I8" s="632"/>
      <c r="J8" s="153"/>
      <c r="K8" s="442"/>
      <c r="L8" s="442"/>
      <c r="M8" s="5"/>
      <c r="N8" s="5"/>
    </row>
    <row r="9" spans="1:14">
      <c r="B9" t="s">
        <v>2447</v>
      </c>
      <c r="D9" s="5">
        <v>43948</v>
      </c>
      <c r="F9" s="126">
        <v>49227</v>
      </c>
      <c r="H9" s="628"/>
      <c r="I9" s="632"/>
      <c r="J9" s="153"/>
      <c r="K9" s="442"/>
      <c r="L9" s="442"/>
      <c r="M9" s="5"/>
      <c r="N9" s="5"/>
    </row>
    <row r="10" spans="1:14">
      <c r="B10" t="s">
        <v>2086</v>
      </c>
      <c r="D10" s="5">
        <v>61287</v>
      </c>
      <c r="F10" s="126">
        <v>23719</v>
      </c>
      <c r="H10" s="628"/>
      <c r="I10" s="632"/>
      <c r="J10" s="442"/>
      <c r="K10" s="191"/>
      <c r="L10" s="442"/>
      <c r="M10" s="5"/>
      <c r="N10" s="5"/>
    </row>
    <row r="11" spans="1:14" ht="15.75" thickBot="1">
      <c r="D11" s="180">
        <f>SUM(D5:D10)</f>
        <v>1053913</v>
      </c>
      <c r="F11" s="180">
        <f>SUM(F5:F10)</f>
        <v>379656</v>
      </c>
      <c r="H11" s="628"/>
      <c r="I11" s="632"/>
      <c r="J11" s="442"/>
      <c r="K11" s="442"/>
      <c r="L11" s="442"/>
    </row>
    <row r="12" spans="1:14" ht="15.75" thickTop="1">
      <c r="C12" s="234"/>
      <c r="D12" s="651">
        <f>D11+ОПИУ!C12</f>
        <v>0</v>
      </c>
      <c r="F12" s="293">
        <f>F11+ОПИУ!E12</f>
        <v>0</v>
      </c>
      <c r="H12" s="153"/>
      <c r="I12" s="814"/>
      <c r="J12" s="153"/>
      <c r="K12" s="153"/>
      <c r="L12" s="153"/>
    </row>
    <row r="13" spans="1:14">
      <c r="H13" s="153"/>
      <c r="I13" s="814"/>
      <c r="J13" s="153"/>
      <c r="K13" s="153"/>
      <c r="L13" s="153"/>
    </row>
    <row r="14" spans="1:14">
      <c r="H14" s="153"/>
      <c r="I14" s="814"/>
      <c r="J14" s="153"/>
      <c r="K14" s="153"/>
      <c r="L14" s="153"/>
    </row>
    <row r="15" spans="1:14">
      <c r="H15" s="153"/>
      <c r="I15" s="814"/>
      <c r="J15" s="153"/>
      <c r="K15" s="153"/>
      <c r="L15" s="153"/>
    </row>
    <row r="16" spans="1:14">
      <c r="H16" s="153"/>
      <c r="I16" s="814"/>
      <c r="J16" s="153"/>
      <c r="K16" s="153"/>
      <c r="L16" s="153"/>
    </row>
    <row r="17" spans="8:12">
      <c r="H17" s="153"/>
      <c r="I17" s="814"/>
      <c r="J17" s="153"/>
      <c r="K17" s="153"/>
      <c r="L17" s="153"/>
    </row>
    <row r="18" spans="8:12">
      <c r="I18" s="814"/>
      <c r="J18" s="153"/>
      <c r="K18" s="153"/>
      <c r="L18" s="153"/>
    </row>
    <row r="19" spans="8:12">
      <c r="I19" s="153"/>
      <c r="J19" s="153"/>
      <c r="K19" s="153"/>
      <c r="L19" s="153"/>
    </row>
    <row r="20" spans="8:12">
      <c r="I20" s="153"/>
      <c r="J20" s="153"/>
      <c r="K20" s="153"/>
      <c r="L20" s="153"/>
    </row>
    <row r="21" spans="8:12">
      <c r="I21" s="153"/>
      <c r="J21" s="153"/>
      <c r="K21" s="153"/>
      <c r="L21" s="153"/>
    </row>
    <row r="22" spans="8:12">
      <c r="I22" s="153"/>
      <c r="J22" s="153"/>
      <c r="K22" s="153"/>
      <c r="L22" s="153"/>
    </row>
    <row r="23" spans="8:12">
      <c r="I23" s="153"/>
      <c r="J23" s="153"/>
      <c r="K23" s="153"/>
      <c r="L23" s="153"/>
    </row>
    <row r="24" spans="8:12">
      <c r="I24" s="153"/>
      <c r="J24" s="153"/>
      <c r="K24" s="153"/>
      <c r="L24" s="153"/>
    </row>
    <row r="25" spans="8:12">
      <c r="I25" s="153"/>
      <c r="J25" s="153"/>
      <c r="K25" s="153"/>
      <c r="L25" s="153"/>
    </row>
    <row r="26" spans="8:12">
      <c r="I26" s="153"/>
      <c r="J26" s="153"/>
      <c r="K26" s="153"/>
      <c r="L26" s="153"/>
    </row>
  </sheetData>
  <pageMargins left="0.7" right="0.7" top="0.75" bottom="0.75" header="0.3" footer="0.3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zoomScale="80" zoomScaleNormal="80" workbookViewId="0">
      <selection activeCell="H3" sqref="H3:M22"/>
    </sheetView>
  </sheetViews>
  <sheetFormatPr defaultRowHeight="15"/>
  <cols>
    <col min="3" max="3" width="34.5703125" customWidth="1"/>
    <col min="4" max="4" width="13.5703125" customWidth="1"/>
    <col min="6" max="6" width="13.7109375" customWidth="1"/>
    <col min="7" max="8" width="11.85546875" bestFit="1" customWidth="1"/>
    <col min="9" max="9" width="15.28515625" customWidth="1"/>
    <col min="10" max="10" width="13.140625" customWidth="1"/>
  </cols>
  <sheetData>
    <row r="2" spans="1:7">
      <c r="A2" s="125">
        <v>27</v>
      </c>
      <c r="B2" s="124" t="s">
        <v>2126</v>
      </c>
    </row>
    <row r="4" spans="1:7">
      <c r="D4" s="290" t="s">
        <v>3227</v>
      </c>
      <c r="E4" s="124"/>
      <c r="F4" s="290" t="s">
        <v>3228</v>
      </c>
    </row>
    <row r="5" spans="1:7">
      <c r="B5" t="s">
        <v>2127</v>
      </c>
      <c r="D5" s="5">
        <v>2477483</v>
      </c>
      <c r="E5" s="5"/>
      <c r="F5" s="5">
        <v>2020109</v>
      </c>
      <c r="G5" s="5"/>
    </row>
    <row r="6" spans="1:7">
      <c r="B6" s="26" t="s">
        <v>2976</v>
      </c>
      <c r="D6" s="5">
        <v>813611</v>
      </c>
      <c r="E6" s="5"/>
      <c r="F6" s="5">
        <v>1746753</v>
      </c>
      <c r="G6" s="5"/>
    </row>
    <row r="7" spans="1:7">
      <c r="B7" t="s">
        <v>2130</v>
      </c>
      <c r="D7" s="5">
        <v>704200</v>
      </c>
      <c r="E7" s="5"/>
      <c r="F7" s="5">
        <v>370676</v>
      </c>
      <c r="G7" s="5"/>
    </row>
    <row r="8" spans="1:7">
      <c r="B8" t="s">
        <v>2131</v>
      </c>
      <c r="D8" s="5">
        <v>198902</v>
      </c>
      <c r="E8" s="5"/>
      <c r="F8" s="5">
        <v>168025</v>
      </c>
      <c r="G8" s="5"/>
    </row>
    <row r="9" spans="1:7">
      <c r="B9" t="s">
        <v>2117</v>
      </c>
      <c r="D9" s="5">
        <v>130875</v>
      </c>
      <c r="E9" s="5"/>
      <c r="F9" s="5">
        <v>101449</v>
      </c>
      <c r="G9" s="5"/>
    </row>
    <row r="10" spans="1:7">
      <c r="B10" t="s">
        <v>2452</v>
      </c>
      <c r="D10" s="5">
        <v>62837</v>
      </c>
      <c r="E10" s="5"/>
      <c r="F10" s="5">
        <v>52065</v>
      </c>
      <c r="G10" s="5"/>
    </row>
    <row r="11" spans="1:7">
      <c r="B11" t="s">
        <v>2453</v>
      </c>
      <c r="D11" s="5">
        <v>61257</v>
      </c>
      <c r="E11" s="5"/>
      <c r="F11" s="5">
        <v>34195</v>
      </c>
      <c r="G11" s="5"/>
    </row>
    <row r="12" spans="1:7">
      <c r="B12" t="s">
        <v>2128</v>
      </c>
      <c r="D12" s="5">
        <v>34818</v>
      </c>
      <c r="E12" s="5"/>
      <c r="F12" s="5">
        <v>29951</v>
      </c>
      <c r="G12" s="5"/>
    </row>
    <row r="13" spans="1:7">
      <c r="B13" t="s">
        <v>2129</v>
      </c>
      <c r="D13" s="5">
        <v>34359</v>
      </c>
      <c r="E13" s="5"/>
      <c r="F13" s="5">
        <v>24967</v>
      </c>
      <c r="G13" s="5"/>
    </row>
    <row r="14" spans="1:7">
      <c r="B14" t="s">
        <v>2134</v>
      </c>
      <c r="D14" s="5">
        <v>28275</v>
      </c>
      <c r="E14" s="5"/>
      <c r="F14" s="5">
        <v>28809</v>
      </c>
      <c r="G14" s="5"/>
    </row>
    <row r="15" spans="1:7">
      <c r="B15" t="s">
        <v>2133</v>
      </c>
      <c r="D15" s="5">
        <v>20520</v>
      </c>
      <c r="E15" s="5"/>
      <c r="F15" s="5">
        <v>16665</v>
      </c>
      <c r="G15" s="5"/>
    </row>
    <row r="16" spans="1:7">
      <c r="B16" t="s">
        <v>2136</v>
      </c>
      <c r="D16" s="5">
        <v>16655</v>
      </c>
      <c r="E16" s="5"/>
      <c r="F16" s="5">
        <v>11636</v>
      </c>
      <c r="G16" s="5"/>
    </row>
    <row r="17" spans="2:7">
      <c r="B17" t="s">
        <v>2132</v>
      </c>
      <c r="D17" s="5">
        <v>16591</v>
      </c>
      <c r="E17" s="5"/>
      <c r="F17" s="5">
        <v>21795</v>
      </c>
      <c r="G17" s="5"/>
    </row>
    <row r="18" spans="2:7">
      <c r="B18" t="s">
        <v>2135</v>
      </c>
      <c r="D18" s="5">
        <v>7769</v>
      </c>
      <c r="E18" s="5"/>
      <c r="F18" s="5">
        <v>14898</v>
      </c>
      <c r="G18" s="5"/>
    </row>
    <row r="19" spans="2:7">
      <c r="B19" t="s">
        <v>2137</v>
      </c>
      <c r="D19" s="5">
        <v>6744</v>
      </c>
      <c r="E19" s="5"/>
      <c r="F19" s="5">
        <v>10471</v>
      </c>
      <c r="G19" s="5"/>
    </row>
    <row r="20" spans="2:7">
      <c r="B20" t="s">
        <v>2086</v>
      </c>
      <c r="D20" s="5">
        <v>271275</v>
      </c>
      <c r="E20" s="5"/>
      <c r="F20" s="5">
        <v>193193</v>
      </c>
      <c r="G20" s="5"/>
    </row>
    <row r="21" spans="2:7" ht="15.75" thickBot="1">
      <c r="D21" s="180">
        <f>SUM(D5:D20)</f>
        <v>4886171</v>
      </c>
      <c r="E21" s="5"/>
      <c r="F21" s="180">
        <f>SUM(F5:F20)</f>
        <v>4845657</v>
      </c>
    </row>
    <row r="22" spans="2:7" ht="15.75" thickTop="1">
      <c r="C22" s="234"/>
      <c r="D22" s="293">
        <f>D21+ОПИУ!C13</f>
        <v>0</v>
      </c>
      <c r="E22" s="477"/>
      <c r="F22" s="293">
        <f>F21+ОПИУ!E13</f>
        <v>0</v>
      </c>
    </row>
    <row r="24" spans="2:7">
      <c r="D24" s="5"/>
    </row>
  </sheetData>
  <sortState ref="B7:F20">
    <sortCondition descending="1" ref="D7:D20"/>
  </sortState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7" zoomScale="80" zoomScaleNormal="80" workbookViewId="0">
      <selection activeCell="A3" sqref="A3"/>
    </sheetView>
  </sheetViews>
  <sheetFormatPr defaultColWidth="8.7109375" defaultRowHeight="15"/>
  <cols>
    <col min="1" max="3" width="8.7109375" style="7"/>
    <col min="4" max="4" width="34.7109375" style="7" customWidth="1"/>
    <col min="5" max="5" width="13.140625" style="7" customWidth="1"/>
    <col min="6" max="6" width="8.7109375" style="7"/>
    <col min="7" max="7" width="30.85546875" style="7" customWidth="1"/>
    <col min="8" max="8" width="24.42578125" style="7" customWidth="1"/>
    <col min="9" max="9" width="25.85546875" style="7" customWidth="1"/>
    <col min="10" max="10" width="17.42578125" style="7" customWidth="1"/>
    <col min="11" max="11" width="23.28515625" style="7" customWidth="1"/>
    <col min="12" max="12" width="11.85546875" style="7" customWidth="1"/>
    <col min="13" max="13" width="13.140625" style="7" customWidth="1"/>
    <col min="14" max="14" width="4.5703125" style="7" customWidth="1"/>
    <col min="15" max="15" width="19.42578125" style="7" customWidth="1"/>
    <col min="16" max="16384" width="8.7109375" style="7"/>
  </cols>
  <sheetData>
    <row r="2" spans="1:14">
      <c r="A2" s="124">
        <v>28</v>
      </c>
      <c r="B2" s="124" t="s">
        <v>2138</v>
      </c>
      <c r="I2" s="588"/>
      <c r="J2" s="588"/>
      <c r="K2" s="588"/>
      <c r="L2" s="588"/>
      <c r="N2" s="648"/>
    </row>
    <row r="3" spans="1:14">
      <c r="G3" s="588"/>
      <c r="H3" s="588"/>
      <c r="I3" s="588"/>
      <c r="J3" s="588"/>
      <c r="K3" s="588"/>
      <c r="L3" s="588"/>
      <c r="M3" s="588"/>
      <c r="N3" s="648"/>
    </row>
    <row r="4" spans="1:14" s="125" customFormat="1">
      <c r="A4" s="125" t="s">
        <v>2140</v>
      </c>
      <c r="E4" s="290" t="s">
        <v>3226</v>
      </c>
      <c r="F4" s="124"/>
      <c r="G4" s="290" t="s">
        <v>3229</v>
      </c>
      <c r="H4" s="729"/>
      <c r="I4" s="729"/>
      <c r="J4" s="661"/>
      <c r="K4" s="661"/>
      <c r="L4" s="661"/>
      <c r="M4" s="729"/>
      <c r="N4" s="627"/>
    </row>
    <row r="5" spans="1:14" s="125" customFormat="1">
      <c r="B5" s="7" t="s">
        <v>3170</v>
      </c>
      <c r="C5" s="7"/>
      <c r="D5" s="7"/>
      <c r="E5" s="798">
        <v>19065</v>
      </c>
      <c r="F5" s="124"/>
      <c r="G5" s="914">
        <v>6881</v>
      </c>
      <c r="H5" s="729"/>
      <c r="I5" s="628"/>
      <c r="J5" s="632"/>
      <c r="K5" s="662"/>
      <c r="L5" s="914"/>
      <c r="M5" s="915"/>
      <c r="N5" s="627"/>
    </row>
    <row r="6" spans="1:14" s="125" customFormat="1">
      <c r="B6" s="7" t="s">
        <v>3230</v>
      </c>
      <c r="C6" s="7"/>
      <c r="D6" s="7"/>
      <c r="E6" s="798">
        <v>8837</v>
      </c>
      <c r="F6" s="7"/>
      <c r="G6" s="914">
        <v>40531</v>
      </c>
      <c r="H6" s="729"/>
      <c r="I6" s="628"/>
      <c r="J6" s="632"/>
      <c r="K6" s="662"/>
      <c r="L6" s="914"/>
      <c r="M6" s="808"/>
      <c r="N6" s="627"/>
    </row>
    <row r="7" spans="1:14" s="124" customFormat="1">
      <c r="B7" s="7" t="s">
        <v>2139</v>
      </c>
      <c r="C7" s="7"/>
      <c r="D7" s="7"/>
      <c r="E7" s="798">
        <v>5538</v>
      </c>
      <c r="F7" s="7"/>
      <c r="G7" s="914">
        <v>9513</v>
      </c>
      <c r="H7" s="665"/>
      <c r="I7" s="628"/>
      <c r="J7" s="632"/>
      <c r="K7" s="662"/>
      <c r="L7" s="914"/>
      <c r="M7" s="914"/>
      <c r="N7" s="625"/>
    </row>
    <row r="8" spans="1:14">
      <c r="B8" s="7" t="s">
        <v>3169</v>
      </c>
      <c r="E8" s="798">
        <v>1270</v>
      </c>
      <c r="G8" s="914">
        <v>4027</v>
      </c>
      <c r="H8" s="588"/>
      <c r="I8" s="628"/>
      <c r="J8" s="632"/>
      <c r="K8" s="662"/>
      <c r="L8" s="914"/>
      <c r="M8" s="808"/>
      <c r="N8" s="648"/>
    </row>
    <row r="9" spans="1:14">
      <c r="B9" s="7" t="s">
        <v>3231</v>
      </c>
      <c r="E9" s="798">
        <v>0</v>
      </c>
      <c r="G9" s="914">
        <v>82627</v>
      </c>
      <c r="H9" s="588"/>
      <c r="I9" s="559"/>
      <c r="J9" s="632"/>
      <c r="K9" s="662"/>
      <c r="L9" s="914"/>
      <c r="M9" s="808"/>
      <c r="N9" s="648"/>
    </row>
    <row r="10" spans="1:14">
      <c r="B10" s="7" t="s">
        <v>3232</v>
      </c>
      <c r="E10" s="798">
        <v>0</v>
      </c>
      <c r="G10" s="914">
        <v>17397</v>
      </c>
      <c r="H10" s="588"/>
      <c r="I10" s="559"/>
      <c r="J10" s="632"/>
      <c r="K10" s="662"/>
      <c r="L10" s="914"/>
      <c r="M10" s="808"/>
      <c r="N10" s="648"/>
    </row>
    <row r="11" spans="1:14">
      <c r="B11" s="7" t="s">
        <v>572</v>
      </c>
      <c r="E11" s="798">
        <v>26807</v>
      </c>
      <c r="G11" s="914">
        <v>18398</v>
      </c>
      <c r="H11" s="588"/>
      <c r="I11" s="628"/>
      <c r="J11" s="632"/>
      <c r="K11" s="662"/>
      <c r="L11" s="914"/>
      <c r="M11" s="808"/>
      <c r="N11" s="648"/>
    </row>
    <row r="12" spans="1:14" ht="15.75" thickBot="1">
      <c r="E12" s="180">
        <f>SUM(E5:E11)</f>
        <v>61517</v>
      </c>
      <c r="G12" s="180">
        <f>SUM(G5:G11)</f>
        <v>179374</v>
      </c>
      <c r="H12" s="588"/>
      <c r="I12" s="628"/>
      <c r="J12" s="632"/>
      <c r="K12" s="662"/>
      <c r="L12" s="914"/>
      <c r="M12" s="808"/>
      <c r="N12" s="648"/>
    </row>
    <row r="13" spans="1:14" s="234" customFormat="1" ht="15.75" thickTop="1">
      <c r="E13" s="436">
        <f>ОПИУ!C14-E12</f>
        <v>0</v>
      </c>
      <c r="G13" s="916">
        <f>ОПИУ!E14-G12</f>
        <v>0</v>
      </c>
      <c r="H13" s="698"/>
      <c r="I13" s="588"/>
      <c r="J13" s="588"/>
      <c r="K13" s="588"/>
      <c r="L13" s="588"/>
      <c r="M13" s="808"/>
      <c r="N13" s="626"/>
    </row>
    <row r="14" spans="1:14">
      <c r="E14" s="239"/>
      <c r="G14" s="588"/>
      <c r="H14" s="588"/>
      <c r="L14" s="588"/>
      <c r="M14" s="801"/>
      <c r="N14" s="648"/>
    </row>
    <row r="15" spans="1:14">
      <c r="A15" s="124" t="s">
        <v>2141</v>
      </c>
      <c r="G15" s="588"/>
      <c r="H15" s="588"/>
      <c r="I15" s="234"/>
      <c r="L15" s="588"/>
      <c r="M15" s="808"/>
      <c r="N15" s="648"/>
    </row>
    <row r="16" spans="1:14">
      <c r="E16" s="290" t="s">
        <v>3226</v>
      </c>
      <c r="G16" s="290" t="s">
        <v>3229</v>
      </c>
      <c r="H16" s="588"/>
      <c r="L16" s="588"/>
      <c r="M16" s="588"/>
      <c r="N16" s="648"/>
    </row>
    <row r="17" spans="2:14" s="586" customFormat="1">
      <c r="B17" s="7" t="s">
        <v>2117</v>
      </c>
      <c r="E17" s="917">
        <v>311105</v>
      </c>
      <c r="F17" s="125"/>
      <c r="G17" s="587">
        <v>134430</v>
      </c>
      <c r="H17" s="661"/>
      <c r="I17" s="697"/>
      <c r="J17" s="918"/>
      <c r="K17" s="239"/>
      <c r="L17" s="239"/>
      <c r="M17" s="7"/>
      <c r="N17" s="649"/>
    </row>
    <row r="18" spans="2:14">
      <c r="B18" s="7" t="s">
        <v>2142</v>
      </c>
      <c r="E18" s="239">
        <v>252298</v>
      </c>
      <c r="G18" s="365">
        <v>62452</v>
      </c>
      <c r="H18" s="588"/>
      <c r="I18" s="697"/>
      <c r="J18" s="918"/>
      <c r="K18" s="239"/>
      <c r="L18" s="239"/>
      <c r="N18" s="648"/>
    </row>
    <row r="19" spans="2:14">
      <c r="B19" s="7" t="s">
        <v>2143</v>
      </c>
      <c r="E19" s="239">
        <v>107061</v>
      </c>
      <c r="G19" s="239">
        <v>59660</v>
      </c>
      <c r="H19" s="588"/>
      <c r="I19" s="697"/>
      <c r="J19" s="918"/>
      <c r="K19" s="239"/>
      <c r="L19" s="239"/>
      <c r="N19" s="648"/>
    </row>
    <row r="20" spans="2:14">
      <c r="B20" s="7" t="s">
        <v>3171</v>
      </c>
      <c r="E20" s="239">
        <v>40741</v>
      </c>
      <c r="G20" s="239">
        <v>39577</v>
      </c>
      <c r="H20" s="588"/>
      <c r="I20" s="697"/>
      <c r="J20" s="918"/>
      <c r="K20" s="239"/>
      <c r="L20" s="239"/>
      <c r="N20" s="648"/>
    </row>
    <row r="21" spans="2:14">
      <c r="B21" s="7" t="s">
        <v>3233</v>
      </c>
      <c r="E21" s="239">
        <v>30338</v>
      </c>
      <c r="G21" s="239">
        <v>0</v>
      </c>
      <c r="H21" s="588"/>
      <c r="I21" s="628"/>
      <c r="J21" s="815"/>
      <c r="K21" s="239"/>
      <c r="L21" s="239"/>
      <c r="N21" s="648"/>
    </row>
    <row r="22" spans="2:14">
      <c r="B22" s="7" t="s">
        <v>3172</v>
      </c>
      <c r="E22" s="239">
        <v>27857</v>
      </c>
      <c r="G22" s="239">
        <v>20188</v>
      </c>
      <c r="H22" s="588"/>
      <c r="I22" s="628"/>
      <c r="J22" s="632"/>
      <c r="K22" s="239"/>
      <c r="L22" s="239"/>
    </row>
    <row r="23" spans="2:14">
      <c r="B23" s="7" t="s">
        <v>2144</v>
      </c>
      <c r="E23" s="662">
        <v>25341</v>
      </c>
      <c r="G23" s="239">
        <v>26068</v>
      </c>
      <c r="H23" s="588"/>
      <c r="I23" s="628"/>
      <c r="J23" s="632"/>
      <c r="K23" s="239"/>
      <c r="L23" s="239"/>
    </row>
    <row r="24" spans="2:14">
      <c r="B24" s="7" t="s">
        <v>3173</v>
      </c>
      <c r="E24" s="239">
        <v>20003</v>
      </c>
      <c r="G24" s="239">
        <v>3851</v>
      </c>
      <c r="H24" s="588"/>
      <c r="I24" s="628"/>
      <c r="J24" s="632"/>
      <c r="K24" s="239"/>
      <c r="L24" s="239"/>
    </row>
    <row r="25" spans="2:14">
      <c r="B25" s="7" t="s">
        <v>2145</v>
      </c>
      <c r="E25" s="239">
        <v>54087</v>
      </c>
      <c r="G25" s="239">
        <v>29124</v>
      </c>
      <c r="H25" s="588"/>
      <c r="I25" s="628"/>
      <c r="J25" s="632"/>
      <c r="K25" s="239"/>
      <c r="L25" s="239"/>
    </row>
    <row r="26" spans="2:14" ht="15.75" thickBot="1">
      <c r="E26" s="180">
        <f>SUM(E17:E25)</f>
        <v>868831</v>
      </c>
      <c r="G26" s="180">
        <f>SUM(G17:G25)</f>
        <v>375350</v>
      </c>
      <c r="H26" s="588"/>
      <c r="I26" s="628"/>
      <c r="J26" s="632"/>
      <c r="K26" s="239"/>
      <c r="L26" s="239"/>
    </row>
    <row r="27" spans="2:14" ht="15.75" thickTop="1">
      <c r="E27" s="293">
        <f>ОПИУ!C15+E26</f>
        <v>0</v>
      </c>
      <c r="G27" s="62">
        <f>ОПИУ!E15+G26</f>
        <v>0</v>
      </c>
      <c r="H27" s="588"/>
      <c r="I27" s="588"/>
      <c r="J27" s="588"/>
    </row>
    <row r="28" spans="2:14">
      <c r="G28" s="588"/>
      <c r="H28" s="588"/>
      <c r="I28" s="588"/>
      <c r="J28" s="588"/>
    </row>
    <row r="29" spans="2:14">
      <c r="G29" s="588"/>
      <c r="H29" s="588"/>
      <c r="I29" s="588"/>
      <c r="J29" s="588"/>
    </row>
    <row r="30" spans="2:14">
      <c r="G30" s="588"/>
      <c r="H30" s="588"/>
      <c r="I30" s="588"/>
      <c r="J30" s="588"/>
    </row>
  </sheetData>
  <sortState ref="B16:F27">
    <sortCondition descending="1" ref="E16:E27"/>
  </sortState>
  <pageMargins left="0.7" right="0.7" top="0.75" bottom="0.75" header="0.3" footer="0.3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zoomScale="80" zoomScaleNormal="80" workbookViewId="0">
      <selection activeCell="H56" sqref="H56:M69"/>
    </sheetView>
  </sheetViews>
  <sheetFormatPr defaultRowHeight="15"/>
  <cols>
    <col min="4" max="4" width="15.5703125" customWidth="1"/>
    <col min="5" max="5" width="10.42578125" bestFit="1" customWidth="1"/>
    <col min="6" max="6" width="15.85546875" customWidth="1"/>
    <col min="7" max="7" width="13.5703125" customWidth="1"/>
    <col min="8" max="8" width="19.140625" customWidth="1"/>
    <col min="9" max="9" width="13.85546875" bestFit="1" customWidth="1"/>
    <col min="10" max="10" width="10.42578125" bestFit="1" customWidth="1"/>
    <col min="11" max="11" width="13.7109375" customWidth="1"/>
    <col min="12" max="12" width="10.85546875" customWidth="1"/>
  </cols>
  <sheetData>
    <row r="2" spans="1:11">
      <c r="A2" s="124">
        <v>29</v>
      </c>
      <c r="B2" s="124" t="s">
        <v>2975</v>
      </c>
    </row>
    <row r="4" spans="1:11" hidden="1">
      <c r="B4" s="32">
        <v>7447</v>
      </c>
      <c r="C4" s="37">
        <v>-364416.30539999995</v>
      </c>
    </row>
    <row r="5" spans="1:11" hidden="1"/>
    <row r="6" spans="1:11" hidden="1">
      <c r="C6" s="456" t="s">
        <v>342</v>
      </c>
      <c r="D6" s="457" t="s">
        <v>343</v>
      </c>
      <c r="E6" s="457" t="s">
        <v>54</v>
      </c>
      <c r="F6" s="457" t="s">
        <v>55</v>
      </c>
      <c r="H6" s="456" t="s">
        <v>342</v>
      </c>
      <c r="I6" s="457" t="s">
        <v>343</v>
      </c>
      <c r="J6" s="457" t="s">
        <v>54</v>
      </c>
      <c r="K6" s="457" t="s">
        <v>55</v>
      </c>
    </row>
    <row r="7" spans="1:11" ht="24" hidden="1">
      <c r="C7" s="458">
        <v>1286</v>
      </c>
      <c r="D7" s="459" t="s">
        <v>344</v>
      </c>
      <c r="E7" s="460"/>
      <c r="F7" s="461">
        <v>254844010.41999999</v>
      </c>
      <c r="H7" s="458">
        <v>2184</v>
      </c>
      <c r="I7" s="459" t="s">
        <v>344</v>
      </c>
      <c r="J7" s="460"/>
      <c r="K7" s="461">
        <v>808696776.90999997</v>
      </c>
    </row>
    <row r="8" spans="1:11" hidden="1">
      <c r="C8" s="462"/>
      <c r="D8" s="463">
        <v>1200</v>
      </c>
      <c r="E8" s="464">
        <v>-15239.68</v>
      </c>
      <c r="F8" s="465"/>
      <c r="H8" s="462"/>
      <c r="I8" s="463">
        <v>7400</v>
      </c>
      <c r="J8" s="465"/>
      <c r="K8" s="464">
        <v>-364416305.41000003</v>
      </c>
    </row>
    <row r="9" spans="1:11" hidden="1">
      <c r="C9" s="466"/>
      <c r="D9" s="463">
        <v>1270</v>
      </c>
      <c r="E9" s="464">
        <v>-15239.68</v>
      </c>
      <c r="F9" s="465"/>
      <c r="H9" s="466"/>
      <c r="I9" s="463">
        <v>7440</v>
      </c>
      <c r="J9" s="465"/>
      <c r="K9" s="464">
        <v>-364416305.41000003</v>
      </c>
    </row>
    <row r="10" spans="1:11" hidden="1">
      <c r="C10" s="462"/>
      <c r="D10" s="463">
        <v>1700</v>
      </c>
      <c r="E10" s="455">
        <v>15239.68</v>
      </c>
      <c r="F10" s="465"/>
      <c r="H10" s="467"/>
      <c r="I10" s="459" t="s">
        <v>345</v>
      </c>
      <c r="J10" s="460"/>
      <c r="K10" s="468">
        <v>-364416305.41000003</v>
      </c>
    </row>
    <row r="11" spans="1:11" ht="24" hidden="1">
      <c r="C11" s="466"/>
      <c r="D11" s="463">
        <v>1710</v>
      </c>
      <c r="E11" s="455">
        <v>15239.68</v>
      </c>
      <c r="F11" s="465"/>
      <c r="H11" s="467"/>
      <c r="I11" s="459" t="s">
        <v>346</v>
      </c>
      <c r="J11" s="460"/>
      <c r="K11" s="461">
        <v>444280471.5</v>
      </c>
    </row>
    <row r="12" spans="1:11" hidden="1">
      <c r="C12" s="462"/>
      <c r="D12" s="463">
        <v>7400</v>
      </c>
      <c r="E12" s="465"/>
      <c r="F12" s="455">
        <v>44057220.729999997</v>
      </c>
    </row>
    <row r="13" spans="1:11" hidden="1">
      <c r="C13" s="466"/>
      <c r="D13" s="463">
        <v>7440</v>
      </c>
      <c r="E13" s="465"/>
      <c r="F13" s="455">
        <v>44057220.729999997</v>
      </c>
    </row>
    <row r="14" spans="1:11" hidden="1">
      <c r="C14" s="467"/>
      <c r="D14" s="459" t="s">
        <v>345</v>
      </c>
      <c r="E14" s="460"/>
      <c r="F14" s="461">
        <v>44057220.729999997</v>
      </c>
    </row>
    <row r="15" spans="1:11" hidden="1">
      <c r="C15" s="467"/>
      <c r="D15" s="459" t="s">
        <v>346</v>
      </c>
      <c r="E15" s="460"/>
      <c r="F15" s="461">
        <v>298901231.14999998</v>
      </c>
    </row>
    <row r="16" spans="1:11" hidden="1"/>
    <row r="17" spans="3:6" hidden="1">
      <c r="C17" s="456" t="s">
        <v>342</v>
      </c>
      <c r="D17" s="457" t="s">
        <v>343</v>
      </c>
      <c r="E17" s="457" t="s">
        <v>54</v>
      </c>
      <c r="F17" s="457" t="s">
        <v>55</v>
      </c>
    </row>
    <row r="18" spans="3:6" ht="24" hidden="1">
      <c r="C18" s="469">
        <v>7443</v>
      </c>
      <c r="D18" s="470" t="s">
        <v>344</v>
      </c>
      <c r="E18" s="471"/>
      <c r="F18" s="471"/>
    </row>
    <row r="19" spans="3:6" hidden="1">
      <c r="C19" s="462"/>
      <c r="D19" s="463">
        <v>1200</v>
      </c>
      <c r="E19" s="474">
        <v>22393.091469999999</v>
      </c>
      <c r="F19" s="474">
        <v>0</v>
      </c>
    </row>
    <row r="20" spans="3:6" hidden="1">
      <c r="C20" s="466"/>
      <c r="D20" s="463">
        <v>1270</v>
      </c>
      <c r="E20" s="475">
        <v>-4.0000000000000002E-4</v>
      </c>
      <c r="F20" s="474">
        <v>0</v>
      </c>
    </row>
    <row r="21" spans="3:6" hidden="1">
      <c r="C21" s="472"/>
      <c r="D21" s="463">
        <v>1275</v>
      </c>
      <c r="E21" s="475">
        <v>-4.0000000000000002E-4</v>
      </c>
      <c r="F21" s="474">
        <v>0</v>
      </c>
    </row>
    <row r="22" spans="3:6" hidden="1">
      <c r="C22" s="466"/>
      <c r="D22" s="463">
        <v>1280</v>
      </c>
      <c r="E22" s="474">
        <v>22393.09187</v>
      </c>
      <c r="F22" s="474">
        <v>0</v>
      </c>
    </row>
    <row r="23" spans="3:6" hidden="1">
      <c r="C23" s="472"/>
      <c r="D23" s="463">
        <v>1285</v>
      </c>
      <c r="E23" s="474">
        <v>22393.09187</v>
      </c>
      <c r="F23" s="474">
        <v>0</v>
      </c>
    </row>
    <row r="24" spans="3:6" hidden="1">
      <c r="C24" s="462"/>
      <c r="D24" s="463">
        <v>5700</v>
      </c>
      <c r="E24" s="474">
        <v>0</v>
      </c>
      <c r="F24" s="474">
        <v>22393.091469999999</v>
      </c>
    </row>
    <row r="25" spans="3:6" hidden="1">
      <c r="C25" s="466"/>
      <c r="D25" s="463">
        <v>5710</v>
      </c>
      <c r="E25" s="474">
        <v>0</v>
      </c>
      <c r="F25" s="474">
        <v>22393.091469999999</v>
      </c>
    </row>
    <row r="26" spans="3:6" hidden="1">
      <c r="C26" s="473"/>
      <c r="D26" s="470" t="s">
        <v>345</v>
      </c>
      <c r="E26" s="476">
        <v>22393.091469999999</v>
      </c>
      <c r="F26" s="476">
        <v>22393.091469999999</v>
      </c>
    </row>
    <row r="27" spans="3:6" ht="24" hidden="1">
      <c r="C27" s="473"/>
      <c r="D27" s="470" t="s">
        <v>346</v>
      </c>
      <c r="E27" s="471"/>
      <c r="F27" s="471"/>
    </row>
    <row r="28" spans="3:6" hidden="1"/>
    <row r="29" spans="3:6" hidden="1"/>
    <row r="30" spans="3:6" hidden="1"/>
    <row r="31" spans="3:6" hidden="1"/>
    <row r="32" spans="3:6" hidden="1"/>
    <row r="33" spans="3:8" hidden="1"/>
    <row r="34" spans="3:8" hidden="1"/>
    <row r="35" spans="3:8" hidden="1"/>
    <row r="36" spans="3:8" hidden="1"/>
    <row r="37" spans="3:8" hidden="1"/>
    <row r="38" spans="3:8" hidden="1"/>
    <row r="39" spans="3:8" hidden="1"/>
    <row r="40" spans="3:8" hidden="1"/>
    <row r="41" spans="3:8" hidden="1"/>
    <row r="42" spans="3:8" hidden="1">
      <c r="D42" s="5" t="e">
        <v>#REF!</v>
      </c>
    </row>
    <row r="43" spans="3:8" hidden="1"/>
    <row r="44" spans="3:8" hidden="1">
      <c r="C44" s="510">
        <v>7425</v>
      </c>
      <c r="D44" s="511">
        <v>118176.61868000001</v>
      </c>
      <c r="E44" s="5" t="e">
        <f>D44-#REF!</f>
        <v>#REF!</v>
      </c>
    </row>
    <row r="45" spans="3:8" hidden="1">
      <c r="C45" s="510">
        <v>7441</v>
      </c>
      <c r="D45" s="511">
        <v>23.393330000000002</v>
      </c>
    </row>
    <row r="46" spans="3:8" hidden="1">
      <c r="C46" s="510">
        <v>7443</v>
      </c>
      <c r="D46" s="511">
        <v>22393.091469999999</v>
      </c>
    </row>
    <row r="47" spans="3:8" hidden="1">
      <c r="C47" s="510">
        <v>7444</v>
      </c>
      <c r="D47" s="511">
        <v>44057.221450000005</v>
      </c>
      <c r="F47" s="5">
        <v>32133</v>
      </c>
      <c r="H47" s="5">
        <f>F47+F48-(D47+D48)</f>
        <v>224.08394999994198</v>
      </c>
    </row>
    <row r="48" spans="3:8" hidden="1">
      <c r="C48" s="510">
        <v>7447</v>
      </c>
      <c r="D48" s="512">
        <v>-364416.30539999995</v>
      </c>
      <c r="F48" s="5">
        <v>-352268</v>
      </c>
    </row>
    <row r="49" spans="2:15" hidden="1">
      <c r="D49" s="269">
        <f>SUM(D44:D48)</f>
        <v>-179765.98046999992</v>
      </c>
    </row>
    <row r="50" spans="2:15" hidden="1">
      <c r="D50" s="5" t="e">
        <f>D49-#REF!</f>
        <v>#REF!</v>
      </c>
    </row>
    <row r="51" spans="2:15" hidden="1"/>
    <row r="52" spans="2:15" hidden="1"/>
    <row r="53" spans="2:15" hidden="1"/>
    <row r="54" spans="2:15" hidden="1"/>
    <row r="55" spans="2:15" hidden="1"/>
    <row r="56" spans="2:15">
      <c r="H56" s="153"/>
      <c r="I56" s="153"/>
      <c r="J56" s="153"/>
      <c r="K56" s="153"/>
      <c r="L56" s="153"/>
      <c r="M56" s="153"/>
    </row>
    <row r="57" spans="2:15">
      <c r="D57" s="290" t="s">
        <v>3226</v>
      </c>
      <c r="E57" s="124"/>
      <c r="F57" s="290" t="s">
        <v>3229</v>
      </c>
      <c r="H57" s="153"/>
      <c r="I57" s="153"/>
      <c r="J57" s="153"/>
      <c r="K57" s="153"/>
      <c r="L57" s="153"/>
      <c r="M57" s="153"/>
      <c r="N57" s="153"/>
      <c r="O57" s="153"/>
    </row>
    <row r="58" spans="2:15">
      <c r="B58" t="s">
        <v>7</v>
      </c>
      <c r="D58" s="5">
        <v>21634</v>
      </c>
      <c r="E58" s="5"/>
      <c r="F58" s="5">
        <v>0</v>
      </c>
      <c r="G58" s="5"/>
      <c r="N58" s="153"/>
      <c r="O58" s="153"/>
    </row>
    <row r="59" spans="2:15">
      <c r="B59" t="s">
        <v>730</v>
      </c>
      <c r="D59" s="5">
        <v>-73533</v>
      </c>
      <c r="E59" s="5"/>
      <c r="F59" s="5">
        <v>-66117</v>
      </c>
      <c r="G59" s="5"/>
      <c r="N59" s="153"/>
      <c r="O59" s="153"/>
    </row>
    <row r="60" spans="2:15">
      <c r="B60" t="s">
        <v>2146</v>
      </c>
      <c r="D60" s="5">
        <v>-133488</v>
      </c>
      <c r="E60" s="5"/>
      <c r="F60" s="5">
        <v>-495216</v>
      </c>
      <c r="N60" s="153"/>
      <c r="O60" s="153"/>
    </row>
    <row r="61" spans="2:15">
      <c r="B61" s="153" t="s">
        <v>16</v>
      </c>
      <c r="D61" s="5">
        <v>0</v>
      </c>
      <c r="E61" s="5"/>
      <c r="F61" s="5">
        <v>44125</v>
      </c>
      <c r="N61" s="153"/>
      <c r="O61" s="153"/>
    </row>
    <row r="62" spans="2:15" ht="15.75" thickBot="1">
      <c r="D62" s="180">
        <f>SUM(D58:D61)</f>
        <v>-185387</v>
      </c>
      <c r="E62" s="124"/>
      <c r="F62" s="180">
        <f>SUM(F58:F61)</f>
        <v>-517208</v>
      </c>
      <c r="N62" s="153"/>
      <c r="O62" s="153"/>
    </row>
    <row r="63" spans="2:15" ht="15.75" thickTop="1">
      <c r="C63" s="234" t="s">
        <v>43</v>
      </c>
      <c r="D63" s="293">
        <f>ОПИУ!C16+D62</f>
        <v>0</v>
      </c>
      <c r="E63" s="293"/>
      <c r="F63" s="293">
        <f>ОПИУ!E16+F62</f>
        <v>0</v>
      </c>
      <c r="G63" s="5"/>
      <c r="N63" s="153"/>
      <c r="O63" s="153"/>
    </row>
    <row r="64" spans="2:15">
      <c r="D64" s="5"/>
      <c r="N64" s="153"/>
      <c r="O64" s="153"/>
    </row>
    <row r="65" spans="3:15">
      <c r="C65" s="234"/>
      <c r="D65" s="436"/>
      <c r="N65" s="153"/>
      <c r="O65" s="153"/>
    </row>
    <row r="66" spans="3:15">
      <c r="D66" s="5">
        <f>C66+A66</f>
        <v>0</v>
      </c>
      <c r="N66" s="153"/>
      <c r="O66" s="153"/>
    </row>
    <row r="67" spans="3:15">
      <c r="N67" s="153"/>
      <c r="O67" s="153"/>
    </row>
    <row r="68" spans="3:15">
      <c r="D68" s="5"/>
      <c r="N68" s="153"/>
      <c r="O68" s="153"/>
    </row>
    <row r="69" spans="3:15">
      <c r="N69" s="153"/>
      <c r="O69" s="153"/>
    </row>
    <row r="70" spans="3:15">
      <c r="N70" s="153"/>
      <c r="O70" s="153"/>
    </row>
    <row r="71" spans="3:15">
      <c r="N71" s="153"/>
      <c r="O71" s="153"/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80" zoomScaleNormal="80" workbookViewId="0">
      <selection activeCell="G9" sqref="G9"/>
    </sheetView>
  </sheetViews>
  <sheetFormatPr defaultRowHeight="15"/>
  <cols>
    <col min="4" max="4" width="12.28515625" customWidth="1"/>
    <col min="5" max="5" width="10.42578125" bestFit="1" customWidth="1"/>
    <col min="6" max="6" width="16.85546875" customWidth="1"/>
    <col min="8" max="8" width="10.42578125" bestFit="1" customWidth="1"/>
    <col min="12" max="12" width="9.42578125" bestFit="1" customWidth="1"/>
  </cols>
  <sheetData>
    <row r="2" spans="1:13">
      <c r="A2" s="124">
        <v>30</v>
      </c>
      <c r="B2" s="124" t="s">
        <v>2969</v>
      </c>
    </row>
    <row r="4" spans="1:13">
      <c r="D4" s="290" t="s">
        <v>3226</v>
      </c>
      <c r="E4" s="124"/>
      <c r="F4" s="290" t="s">
        <v>3229</v>
      </c>
      <c r="I4" s="153"/>
      <c r="J4" s="153"/>
      <c r="K4" s="153"/>
      <c r="L4" s="153"/>
      <c r="M4" s="153"/>
    </row>
    <row r="5" spans="1:13">
      <c r="B5" t="s">
        <v>19</v>
      </c>
      <c r="D5" s="5">
        <v>91563</v>
      </c>
      <c r="E5" s="5"/>
      <c r="F5" s="5">
        <v>-16132</v>
      </c>
      <c r="H5" s="234"/>
      <c r="I5" s="628"/>
      <c r="J5" s="632"/>
      <c r="K5" s="153"/>
      <c r="L5" s="442"/>
      <c r="M5" s="442"/>
    </row>
    <row r="6" spans="1:13">
      <c r="B6" t="s">
        <v>389</v>
      </c>
      <c r="D6" s="5">
        <v>23460</v>
      </c>
      <c r="E6" s="5"/>
      <c r="F6" s="5">
        <v>0</v>
      </c>
      <c r="H6" s="234"/>
      <c r="I6" s="628"/>
      <c r="J6" s="815"/>
      <c r="K6" s="153"/>
      <c r="L6" s="442"/>
      <c r="M6" s="442"/>
    </row>
    <row r="7" spans="1:13">
      <c r="B7" t="s">
        <v>24</v>
      </c>
      <c r="D7" s="5">
        <v>-28795</v>
      </c>
      <c r="E7" s="5"/>
      <c r="F7" s="5">
        <v>0</v>
      </c>
      <c r="H7" s="436"/>
      <c r="I7" s="628"/>
      <c r="J7" s="815"/>
      <c r="K7" s="153"/>
      <c r="L7" s="442"/>
      <c r="M7" s="442"/>
    </row>
    <row r="8" spans="1:13" ht="15.75" thickBot="1">
      <c r="D8" s="180">
        <f>SUM(D5:D7)</f>
        <v>86228</v>
      </c>
      <c r="F8" s="180">
        <f>SUM(F5:F7)</f>
        <v>-16132</v>
      </c>
      <c r="I8" s="628"/>
      <c r="J8" s="632"/>
      <c r="K8" s="153"/>
      <c r="L8" s="442"/>
      <c r="M8" s="442"/>
    </row>
    <row r="9" spans="1:13" s="234" customFormat="1" ht="15.75" thickTop="1">
      <c r="C9" s="234" t="s">
        <v>43</v>
      </c>
      <c r="D9" s="293">
        <f>ОПИУ!C17+D8</f>
        <v>0</v>
      </c>
      <c r="F9" s="436">
        <f>ОПИУ!E17+F8</f>
        <v>0</v>
      </c>
      <c r="I9" s="698"/>
      <c r="J9" s="698"/>
      <c r="K9" s="698"/>
      <c r="L9" s="698"/>
      <c r="M9" s="698"/>
    </row>
    <row r="10" spans="1:13">
      <c r="I10" s="153"/>
      <c r="J10" s="153"/>
      <c r="K10" s="153"/>
      <c r="L10" s="153"/>
      <c r="M10" s="153"/>
    </row>
    <row r="11" spans="1:13">
      <c r="I11" s="153"/>
      <c r="J11" s="153"/>
      <c r="K11" s="153"/>
      <c r="L11" s="153"/>
      <c r="M11" s="153"/>
    </row>
    <row r="13" spans="1:13">
      <c r="D13" s="5"/>
    </row>
  </sheetData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0" zoomScale="80" zoomScaleNormal="80" workbookViewId="0">
      <selection activeCell="J13" sqref="J13:N26"/>
    </sheetView>
  </sheetViews>
  <sheetFormatPr defaultRowHeight="15"/>
  <cols>
    <col min="5" max="5" width="43.42578125" customWidth="1"/>
    <col min="6" max="6" width="12.85546875" bestFit="1" customWidth="1"/>
    <col min="8" max="8" width="19.5703125" customWidth="1"/>
    <col min="11" max="11" width="18.5703125" customWidth="1"/>
    <col min="12" max="12" width="14.28515625" customWidth="1"/>
    <col min="13" max="13" width="15.140625" customWidth="1"/>
  </cols>
  <sheetData>
    <row r="1" spans="1:16" s="2" customFormat="1" ht="12.75"/>
    <row r="2" spans="1:16" s="2" customFormat="1" ht="12.75">
      <c r="A2" s="555">
        <v>31</v>
      </c>
      <c r="B2" s="1" t="s">
        <v>2147</v>
      </c>
    </row>
    <row r="3" spans="1:16" s="2" customFormat="1" ht="12.75">
      <c r="F3" s="919"/>
      <c r="G3" s="673"/>
      <c r="H3" s="673"/>
    </row>
    <row r="7" spans="1:16">
      <c r="F7" s="290" t="s">
        <v>3226</v>
      </c>
      <c r="G7" s="124"/>
      <c r="H7" s="290" t="s">
        <v>3229</v>
      </c>
    </row>
    <row r="8" spans="1:16">
      <c r="B8" s="564" t="s">
        <v>2148</v>
      </c>
      <c r="F8" s="5">
        <v>107437</v>
      </c>
      <c r="H8" s="5">
        <v>60604</v>
      </c>
    </row>
    <row r="9" spans="1:16">
      <c r="B9" s="564" t="s">
        <v>2149</v>
      </c>
      <c r="F9" s="5">
        <v>15944</v>
      </c>
      <c r="H9" s="5">
        <v>11825</v>
      </c>
    </row>
    <row r="10" spans="1:16" ht="15.75" thickBot="1">
      <c r="F10" s="180">
        <f>F9+F8</f>
        <v>123381</v>
      </c>
      <c r="H10" s="180">
        <f>H9+H8</f>
        <v>72429</v>
      </c>
    </row>
    <row r="11" spans="1:16" ht="15.75" thickTop="1">
      <c r="D11" s="234"/>
      <c r="F11" s="293">
        <f>ОПИУ!C20-F10</f>
        <v>0</v>
      </c>
      <c r="H11" s="293">
        <f>H10-ОПИУ!E20</f>
        <v>0</v>
      </c>
    </row>
    <row r="14" spans="1:16">
      <c r="F14" s="290" t="s">
        <v>3226</v>
      </c>
      <c r="G14" s="124"/>
      <c r="H14" s="290" t="s">
        <v>3229</v>
      </c>
      <c r="O14" s="153"/>
      <c r="P14" s="153"/>
    </row>
    <row r="15" spans="1:16">
      <c r="B15" t="s">
        <v>2512</v>
      </c>
      <c r="F15" s="5">
        <v>4351031</v>
      </c>
      <c r="H15" s="5">
        <v>193651</v>
      </c>
      <c r="O15" s="442"/>
      <c r="P15" s="153"/>
    </row>
    <row r="16" spans="1:16">
      <c r="B16" t="s">
        <v>2151</v>
      </c>
      <c r="F16" s="5">
        <v>1471364</v>
      </c>
      <c r="H16" s="5">
        <v>1415326</v>
      </c>
      <c r="O16" s="442"/>
      <c r="P16" s="153"/>
    </row>
    <row r="17" spans="2:16">
      <c r="B17" t="s">
        <v>3239</v>
      </c>
      <c r="F17" s="5">
        <v>705106</v>
      </c>
      <c r="H17" s="5">
        <v>0</v>
      </c>
      <c r="O17" s="442"/>
      <c r="P17" s="153"/>
    </row>
    <row r="18" spans="2:16">
      <c r="B18" t="s">
        <v>2150</v>
      </c>
      <c r="F18" s="5">
        <v>694369</v>
      </c>
      <c r="H18" s="5">
        <v>3055538</v>
      </c>
      <c r="O18" s="442"/>
      <c r="P18" s="153"/>
    </row>
    <row r="19" spans="2:16">
      <c r="B19" t="s">
        <v>2518</v>
      </c>
      <c r="F19" s="5">
        <v>529136</v>
      </c>
      <c r="H19" s="5">
        <v>967863</v>
      </c>
      <c r="O19" s="442"/>
      <c r="P19" s="153"/>
    </row>
    <row r="20" spans="2:16">
      <c r="B20" t="s">
        <v>2965</v>
      </c>
      <c r="F20" s="5">
        <v>54626</v>
      </c>
      <c r="H20" s="5">
        <v>46583</v>
      </c>
      <c r="O20" s="442"/>
      <c r="P20" s="153"/>
    </row>
    <row r="21" spans="2:16">
      <c r="B21" t="s">
        <v>2152</v>
      </c>
      <c r="F21" s="5">
        <v>24661</v>
      </c>
      <c r="H21" s="5">
        <v>46921</v>
      </c>
      <c r="O21" s="442"/>
      <c r="P21" s="153"/>
    </row>
    <row r="22" spans="2:16">
      <c r="B22" t="s">
        <v>2973</v>
      </c>
      <c r="F22" s="5">
        <v>7976</v>
      </c>
      <c r="H22" s="5">
        <v>39895</v>
      </c>
      <c r="O22" s="442"/>
      <c r="P22" s="153"/>
    </row>
    <row r="23" spans="2:16">
      <c r="B23" t="s">
        <v>2153</v>
      </c>
      <c r="F23" s="5">
        <f>7960-1</f>
        <v>7959</v>
      </c>
      <c r="H23" s="5">
        <v>9170</v>
      </c>
      <c r="O23" s="442"/>
      <c r="P23" s="153"/>
    </row>
    <row r="24" spans="2:16" ht="15.75" thickBot="1">
      <c r="F24" s="180">
        <f>SUM(F15:F23)</f>
        <v>7846228</v>
      </c>
      <c r="H24" s="180">
        <f>SUM(H15:H23)</f>
        <v>5774947</v>
      </c>
      <c r="O24" s="442"/>
      <c r="P24" s="153"/>
    </row>
    <row r="25" spans="2:16" ht="15.75" thickTop="1">
      <c r="D25" s="234" t="s">
        <v>43</v>
      </c>
      <c r="F25" s="293">
        <f>ОПИУ!C21+F24</f>
        <v>0</v>
      </c>
      <c r="H25" s="293">
        <f>H24+ОПИУ!E21</f>
        <v>0</v>
      </c>
      <c r="O25" s="153"/>
      <c r="P25" s="153"/>
    </row>
    <row r="26" spans="2:16">
      <c r="O26" s="153"/>
      <c r="P26" s="153"/>
    </row>
    <row r="28" spans="2:16">
      <c r="F28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4"/>
  <sheetViews>
    <sheetView zoomScale="80" zoomScaleNormal="80" workbookViewId="0">
      <selection activeCell="A12" sqref="A12"/>
    </sheetView>
  </sheetViews>
  <sheetFormatPr defaultColWidth="8.7109375" defaultRowHeight="12.75"/>
  <cols>
    <col min="1" max="1" width="8.85546875" style="2" bestFit="1" customWidth="1"/>
    <col min="2" max="2" width="11.42578125" style="2" bestFit="1" customWidth="1"/>
    <col min="3" max="3" width="16.140625" style="2" customWidth="1"/>
    <col min="4" max="5" width="13.5703125" style="2" bestFit="1" customWidth="1"/>
    <col min="6" max="6" width="8.7109375" style="2"/>
    <col min="7" max="7" width="11.42578125" style="2" bestFit="1" customWidth="1"/>
    <col min="8" max="21" width="8.7109375" style="2"/>
    <col min="22" max="22" width="11.7109375" style="2" customWidth="1"/>
    <col min="23" max="23" width="8.85546875" style="2" bestFit="1" customWidth="1"/>
    <col min="24" max="25" width="12.85546875" style="2" bestFit="1" customWidth="1"/>
    <col min="26" max="26" width="12" style="2" bestFit="1" customWidth="1"/>
    <col min="27" max="27" width="8.85546875" style="2" bestFit="1" customWidth="1"/>
    <col min="28" max="28" width="13.85546875" style="2" bestFit="1" customWidth="1"/>
    <col min="29" max="29" width="8.7109375" style="2"/>
    <col min="30" max="31" width="8.85546875" style="2" bestFit="1" customWidth="1"/>
    <col min="32" max="32" width="9.140625" style="2" bestFit="1" customWidth="1"/>
    <col min="33" max="33" width="8.85546875" style="2" bestFit="1" customWidth="1"/>
    <col min="34" max="34" width="11.28515625" style="2" customWidth="1"/>
    <col min="35" max="35" width="8.85546875" style="2" bestFit="1" customWidth="1"/>
    <col min="36" max="16384" width="8.7109375" style="2"/>
  </cols>
  <sheetData>
    <row r="2" spans="1:35">
      <c r="A2" s="2" t="s">
        <v>2051</v>
      </c>
      <c r="B2" s="41">
        <f>ROUND(SUMIF($U:$U,A2,$AB:$AB),0)</f>
        <v>0</v>
      </c>
    </row>
    <row r="3" spans="1:35">
      <c r="A3" s="2" t="s">
        <v>2053</v>
      </c>
      <c r="B3" s="41">
        <f>ROUND(SUMIF($U:$U,A3,$AB:$AB),0)</f>
        <v>0</v>
      </c>
    </row>
    <row r="4" spans="1:35">
      <c r="A4" s="2" t="s">
        <v>712</v>
      </c>
      <c r="B4" s="41">
        <f>ROUND(SUMIF($U:$U,A4,$AB:$AB),0)</f>
        <v>2595860</v>
      </c>
    </row>
    <row r="5" spans="1:35">
      <c r="A5" s="2" t="s">
        <v>2052</v>
      </c>
      <c r="B5" s="41">
        <f>ROUND(SUMIF($U:$U,A5,$AB:$AB),0)</f>
        <v>2461</v>
      </c>
    </row>
    <row r="6" spans="1:35">
      <c r="A6" s="2" t="s">
        <v>713</v>
      </c>
      <c r="B6" s="41">
        <f>ROUND(SUMIF($U:$U,A6,$AB:$AB),0)</f>
        <v>16038603</v>
      </c>
      <c r="E6" s="41">
        <f>E46+E36+E31+E22+E15+E40-E11-E18-E27-E39-F4</f>
        <v>18631228.572329998</v>
      </c>
    </row>
    <row r="7" spans="1:35" ht="13.5" thickBot="1">
      <c r="B7" s="42">
        <f>SUM(B2:B6)</f>
        <v>18636924</v>
      </c>
    </row>
    <row r="8" spans="1:35" ht="13.5" thickTop="1">
      <c r="B8" s="41"/>
    </row>
    <row r="9" spans="1:35">
      <c r="A9" s="210" t="s">
        <v>394</v>
      </c>
    </row>
    <row r="10" spans="1:35" ht="25.5">
      <c r="A10" s="235" t="s">
        <v>2040</v>
      </c>
      <c r="B10" s="236" t="s">
        <v>2043</v>
      </c>
      <c r="C10" s="237" t="s">
        <v>2041</v>
      </c>
      <c r="D10" s="237" t="s">
        <v>2042</v>
      </c>
      <c r="E10" s="238" t="s">
        <v>2044</v>
      </c>
      <c r="U10" s="260" t="s">
        <v>342</v>
      </c>
      <c r="V10" s="989" t="s">
        <v>51</v>
      </c>
      <c r="W10" s="989"/>
      <c r="X10" s="989" t="s">
        <v>52</v>
      </c>
      <c r="Y10" s="989"/>
      <c r="Z10" s="989" t="s">
        <v>53</v>
      </c>
      <c r="AA10" s="989"/>
      <c r="AC10" s="260" t="s">
        <v>342</v>
      </c>
      <c r="AD10" s="989" t="s">
        <v>51</v>
      </c>
      <c r="AE10" s="989"/>
      <c r="AF10" s="989" t="s">
        <v>52</v>
      </c>
      <c r="AG10" s="989"/>
      <c r="AH10" s="989" t="s">
        <v>53</v>
      </c>
      <c r="AI10" s="989"/>
    </row>
    <row r="11" spans="1:35">
      <c r="A11" s="240" t="s">
        <v>58</v>
      </c>
      <c r="B11" s="241">
        <v>5095.49611</v>
      </c>
      <c r="C11" s="241">
        <v>59963.647320000004</v>
      </c>
      <c r="D11" s="241">
        <v>61201.001830000001</v>
      </c>
      <c r="E11" s="241">
        <v>3858.1415999999999</v>
      </c>
      <c r="F11" s="221" t="s">
        <v>2037</v>
      </c>
      <c r="U11" s="990" t="s">
        <v>695</v>
      </c>
      <c r="V11" s="992" t="s">
        <v>54</v>
      </c>
      <c r="W11" s="992" t="s">
        <v>55</v>
      </c>
      <c r="X11" s="992" t="s">
        <v>54</v>
      </c>
      <c r="Y11" s="992" t="s">
        <v>55</v>
      </c>
      <c r="Z11" s="992" t="s">
        <v>54</v>
      </c>
      <c r="AA11" s="992" t="s">
        <v>55</v>
      </c>
      <c r="AC11" s="990" t="s">
        <v>695</v>
      </c>
      <c r="AD11" s="992" t="s">
        <v>54</v>
      </c>
      <c r="AE11" s="992" t="s">
        <v>55</v>
      </c>
      <c r="AF11" s="992" t="s">
        <v>54</v>
      </c>
      <c r="AG11" s="992" t="s">
        <v>55</v>
      </c>
      <c r="AH11" s="992" t="s">
        <v>54</v>
      </c>
      <c r="AI11" s="992" t="s">
        <v>55</v>
      </c>
    </row>
    <row r="12" spans="1:35">
      <c r="A12" s="242" t="s">
        <v>59</v>
      </c>
      <c r="B12" s="243">
        <v>0</v>
      </c>
      <c r="C12" s="243">
        <v>35871691.275229998</v>
      </c>
      <c r="D12" s="243">
        <v>35871691.275229998</v>
      </c>
      <c r="E12" s="243">
        <v>0</v>
      </c>
      <c r="F12" s="221" t="s">
        <v>472</v>
      </c>
      <c r="U12" s="991"/>
      <c r="V12" s="993"/>
      <c r="W12" s="993"/>
      <c r="X12" s="993"/>
      <c r="Y12" s="993"/>
      <c r="Z12" s="993"/>
      <c r="AA12" s="993"/>
      <c r="AC12" s="991"/>
      <c r="AD12" s="993"/>
      <c r="AE12" s="993"/>
      <c r="AF12" s="993"/>
      <c r="AG12" s="993"/>
      <c r="AH12" s="993"/>
      <c r="AI12" s="993"/>
    </row>
    <row r="13" spans="1:35">
      <c r="A13" s="240" t="s">
        <v>62</v>
      </c>
      <c r="B13" s="241">
        <v>483099.48307999998</v>
      </c>
      <c r="C13" s="241">
        <v>180149065.51964</v>
      </c>
      <c r="D13" s="241">
        <v>179578123.55056</v>
      </c>
      <c r="E13" s="241">
        <v>1054041.4521599999</v>
      </c>
      <c r="F13" s="221" t="s">
        <v>472</v>
      </c>
      <c r="U13" s="261">
        <v>1000</v>
      </c>
      <c r="V13" s="262">
        <v>500878.06466999999</v>
      </c>
      <c r="W13" s="262">
        <v>0</v>
      </c>
      <c r="X13" s="262">
        <v>216320671.80919001</v>
      </c>
      <c r="Y13" s="262">
        <v>215581165.92455003</v>
      </c>
      <c r="Z13" s="262">
        <v>1240383.9493100003</v>
      </c>
      <c r="AA13" s="262">
        <v>0</v>
      </c>
      <c r="AC13" s="263">
        <v>1060</v>
      </c>
      <c r="AD13" s="264">
        <v>8971.8729999999996</v>
      </c>
      <c r="AE13" s="264">
        <v>0</v>
      </c>
      <c r="AF13" s="264">
        <v>173137</v>
      </c>
      <c r="AG13" s="264">
        <v>0</v>
      </c>
      <c r="AH13" s="264">
        <v>182108.87299999999</v>
      </c>
      <c r="AI13" s="264">
        <v>0</v>
      </c>
    </row>
    <row r="14" spans="1:35">
      <c r="A14" s="240" t="s">
        <v>63</v>
      </c>
      <c r="B14" s="241">
        <v>3711.2124800000001</v>
      </c>
      <c r="C14" s="241">
        <v>66814.366999999998</v>
      </c>
      <c r="D14" s="241">
        <v>70150.096930000014</v>
      </c>
      <c r="E14" s="241">
        <v>375.48255</v>
      </c>
      <c r="F14" s="221" t="s">
        <v>2036</v>
      </c>
      <c r="U14" s="228" t="s">
        <v>2051</v>
      </c>
      <c r="V14" s="229">
        <v>0</v>
      </c>
      <c r="W14" s="229">
        <v>0</v>
      </c>
      <c r="X14" s="229">
        <v>1220420.5594099998</v>
      </c>
      <c r="Y14" s="229">
        <v>1220420.5594099998</v>
      </c>
      <c r="Z14" s="229">
        <v>0</v>
      </c>
      <c r="AA14" s="229">
        <v>0</v>
      </c>
      <c r="AC14" s="228" t="s">
        <v>712</v>
      </c>
      <c r="AD14" s="229">
        <v>8971.8729999999996</v>
      </c>
      <c r="AE14" s="229">
        <v>0</v>
      </c>
      <c r="AF14" s="229">
        <v>173137</v>
      </c>
      <c r="AG14" s="229">
        <v>0</v>
      </c>
      <c r="AH14" s="229">
        <v>182108.87299999999</v>
      </c>
      <c r="AI14" s="229">
        <v>0</v>
      </c>
    </row>
    <row r="15" spans="1:35" ht="13.5" thickBot="1">
      <c r="A15" s="42">
        <f t="shared" ref="A15" si="0">SUM(A11:A14)</f>
        <v>0</v>
      </c>
      <c r="B15" s="42">
        <f>SUM(B11:B14)</f>
        <v>491906.19166999997</v>
      </c>
      <c r="C15" s="42">
        <f t="shared" ref="C15:E15" si="1">SUM(C11:C14)</f>
        <v>216147534.80919001</v>
      </c>
      <c r="D15" s="42">
        <f t="shared" si="1"/>
        <v>215581165.92455</v>
      </c>
      <c r="E15" s="42">
        <f t="shared" si="1"/>
        <v>1058275.0763099999</v>
      </c>
      <c r="U15" s="228" t="s">
        <v>2053</v>
      </c>
      <c r="V15" s="229">
        <v>0</v>
      </c>
      <c r="W15" s="229">
        <v>0</v>
      </c>
      <c r="X15" s="229">
        <v>82261.367259999999</v>
      </c>
      <c r="Y15" s="229">
        <v>82261.367259999999</v>
      </c>
      <c r="Z15" s="229">
        <v>0</v>
      </c>
      <c r="AA15" s="229">
        <v>0</v>
      </c>
    </row>
    <row r="16" spans="1:35" s="61" customFormat="1" ht="13.5" thickTop="1">
      <c r="D16" s="61" t="s">
        <v>43</v>
      </c>
      <c r="E16" s="244" t="e">
        <f>ROUND(E15-ББ!#REF!,0)</f>
        <v>#REF!</v>
      </c>
      <c r="U16" s="228" t="s">
        <v>712</v>
      </c>
      <c r="V16" s="229">
        <v>479860.57819999999</v>
      </c>
      <c r="W16" s="229">
        <v>0</v>
      </c>
      <c r="X16" s="229">
        <v>148273827.23602</v>
      </c>
      <c r="Y16" s="229">
        <v>147514049.22060001</v>
      </c>
      <c r="Z16" s="229">
        <v>1239638.5936199999</v>
      </c>
      <c r="AA16" s="229">
        <v>0</v>
      </c>
      <c r="AB16" s="41">
        <f>Z16-AH14</f>
        <v>1057529.72062</v>
      </c>
    </row>
    <row r="17" spans="1:35">
      <c r="A17" s="60" t="s">
        <v>395</v>
      </c>
      <c r="U17" s="228" t="s">
        <v>2052</v>
      </c>
      <c r="V17" s="229">
        <v>20192.115000000002</v>
      </c>
      <c r="W17" s="229">
        <v>0</v>
      </c>
      <c r="X17" s="229">
        <v>1525159.4722200001</v>
      </c>
      <c r="Y17" s="229">
        <v>1545351.5872200001</v>
      </c>
      <c r="Z17" s="229">
        <v>0</v>
      </c>
      <c r="AA17" s="229">
        <v>0</v>
      </c>
    </row>
    <row r="18" spans="1:35">
      <c r="A18" s="230" t="s">
        <v>58</v>
      </c>
      <c r="B18" s="231">
        <v>798.37718999999993</v>
      </c>
      <c r="C18" s="231">
        <v>35171.747000000003</v>
      </c>
      <c r="D18" s="231">
        <v>34824.136229999996</v>
      </c>
      <c r="E18" s="231">
        <v>1145.9879599999999</v>
      </c>
      <c r="F18" s="221" t="s">
        <v>2037</v>
      </c>
      <c r="U18" s="228" t="s">
        <v>713</v>
      </c>
      <c r="V18" s="229">
        <v>825.37146999999993</v>
      </c>
      <c r="W18" s="229">
        <v>0</v>
      </c>
      <c r="X18" s="229">
        <v>29357311.899050001</v>
      </c>
      <c r="Y18" s="229">
        <v>29357391.914830003</v>
      </c>
      <c r="Z18" s="229">
        <v>745.35568999999998</v>
      </c>
      <c r="AA18" s="229">
        <v>0</v>
      </c>
      <c r="AB18" s="41">
        <f>Z18</f>
        <v>745.35568999999998</v>
      </c>
      <c r="AC18" s="255" t="s">
        <v>342</v>
      </c>
      <c r="AD18" s="994" t="s">
        <v>51</v>
      </c>
      <c r="AE18" s="994"/>
      <c r="AF18" s="994" t="s">
        <v>52</v>
      </c>
      <c r="AG18" s="994"/>
      <c r="AH18" s="994" t="s">
        <v>53</v>
      </c>
      <c r="AI18" s="994"/>
    </row>
    <row r="19" spans="1:35">
      <c r="A19" s="232" t="s">
        <v>59</v>
      </c>
      <c r="B19" s="233">
        <v>0</v>
      </c>
      <c r="C19" s="233">
        <v>35337747.244539998</v>
      </c>
      <c r="D19" s="233">
        <v>35337747.244539998</v>
      </c>
      <c r="E19" s="233">
        <v>0</v>
      </c>
      <c r="F19" s="221" t="s">
        <v>472</v>
      </c>
      <c r="U19" s="995" t="s">
        <v>695</v>
      </c>
      <c r="V19" s="997" t="s">
        <v>54</v>
      </c>
      <c r="W19" s="997" t="s">
        <v>55</v>
      </c>
      <c r="X19" s="997" t="s">
        <v>54</v>
      </c>
      <c r="Y19" s="997" t="s">
        <v>55</v>
      </c>
      <c r="Z19" s="997" t="s">
        <v>54</v>
      </c>
      <c r="AA19" s="997" t="s">
        <v>55</v>
      </c>
      <c r="AC19" s="995" t="s">
        <v>695</v>
      </c>
      <c r="AD19" s="997" t="s">
        <v>54</v>
      </c>
      <c r="AE19" s="997" t="s">
        <v>55</v>
      </c>
      <c r="AF19" s="997" t="s">
        <v>54</v>
      </c>
      <c r="AG19" s="997" t="s">
        <v>55</v>
      </c>
      <c r="AH19" s="997" t="s">
        <v>54</v>
      </c>
      <c r="AI19" s="997" t="s">
        <v>55</v>
      </c>
    </row>
    <row r="20" spans="1:35">
      <c r="A20" s="230" t="s">
        <v>62</v>
      </c>
      <c r="B20" s="231">
        <v>172936.38859000002</v>
      </c>
      <c r="C20" s="231">
        <v>190416798.36543003</v>
      </c>
      <c r="D20" s="231">
        <v>179829112.27039999</v>
      </c>
      <c r="E20" s="231">
        <v>10760622.483619999</v>
      </c>
      <c r="F20" s="221" t="s">
        <v>472</v>
      </c>
      <c r="U20" s="996"/>
      <c r="V20" s="998"/>
      <c r="W20" s="998"/>
      <c r="X20" s="998"/>
      <c r="Y20" s="998"/>
      <c r="Z20" s="998"/>
      <c r="AA20" s="998"/>
      <c r="AC20" s="996"/>
      <c r="AD20" s="998"/>
      <c r="AE20" s="998"/>
      <c r="AF20" s="998"/>
      <c r="AG20" s="998"/>
      <c r="AH20" s="998"/>
      <c r="AI20" s="998"/>
    </row>
    <row r="21" spans="1:35">
      <c r="A21" s="230" t="s">
        <v>398</v>
      </c>
      <c r="B21" s="231">
        <v>317000</v>
      </c>
      <c r="C21" s="231">
        <v>45846003.428709999</v>
      </c>
      <c r="D21" s="231">
        <v>39429734.847400002</v>
      </c>
      <c r="E21" s="231">
        <v>6733268.5813099993</v>
      </c>
      <c r="F21" s="221" t="s">
        <v>2035</v>
      </c>
      <c r="U21" s="256">
        <v>1000</v>
      </c>
      <c r="V21" s="257">
        <v>490734.76577999996</v>
      </c>
      <c r="W21" s="257">
        <v>0</v>
      </c>
      <c r="X21" s="257">
        <v>271652124.74097997</v>
      </c>
      <c r="Y21" s="257">
        <v>254631418.49857</v>
      </c>
      <c r="Z21" s="257">
        <v>17511441.008189999</v>
      </c>
      <c r="AA21" s="257">
        <v>0</v>
      </c>
      <c r="AC21" s="258">
        <v>1060</v>
      </c>
      <c r="AD21" s="259">
        <v>0</v>
      </c>
      <c r="AE21" s="259">
        <v>0</v>
      </c>
      <c r="AF21" s="259">
        <v>16403.955300000001</v>
      </c>
      <c r="AG21" s="259">
        <v>0</v>
      </c>
      <c r="AH21" s="259">
        <v>16403.955300000001</v>
      </c>
      <c r="AI21" s="259">
        <v>0</v>
      </c>
    </row>
    <row r="22" spans="1:35" ht="13.5" thickBot="1">
      <c r="A22" s="213"/>
      <c r="B22" s="42">
        <f>SUM(B18:B21)</f>
        <v>490734.76578000002</v>
      </c>
      <c r="C22" s="42">
        <f t="shared" ref="C22:E22" si="2">SUM(C18:C21)</f>
        <v>271635720.78568</v>
      </c>
      <c r="D22" s="42">
        <f t="shared" si="2"/>
        <v>254631418.49857</v>
      </c>
      <c r="E22" s="42">
        <f t="shared" si="2"/>
        <v>17495037.052889999</v>
      </c>
      <c r="U22" s="228" t="s">
        <v>2051</v>
      </c>
      <c r="V22" s="229">
        <v>0</v>
      </c>
      <c r="W22" s="229">
        <v>0</v>
      </c>
      <c r="X22" s="229">
        <v>144254.89413999999</v>
      </c>
      <c r="Y22" s="229">
        <v>144254.89413999999</v>
      </c>
      <c r="Z22" s="229">
        <v>0</v>
      </c>
      <c r="AA22" s="229">
        <v>0</v>
      </c>
      <c r="AB22" s="41">
        <f>Z22</f>
        <v>0</v>
      </c>
      <c r="AC22" s="228" t="s">
        <v>712</v>
      </c>
      <c r="AD22" s="229">
        <v>0</v>
      </c>
      <c r="AE22" s="229">
        <v>0</v>
      </c>
      <c r="AF22" s="229">
        <v>16403.955300000001</v>
      </c>
      <c r="AG22" s="229">
        <v>0</v>
      </c>
      <c r="AH22" s="229">
        <v>16403.955300000001</v>
      </c>
      <c r="AI22" s="229">
        <v>0</v>
      </c>
    </row>
    <row r="23" spans="1:35" ht="13.5" thickTop="1">
      <c r="D23" s="61" t="s">
        <v>43</v>
      </c>
      <c r="E23" s="62" t="e">
        <f>ROUND(E22-ББ!#REF!,0)</f>
        <v>#REF!</v>
      </c>
      <c r="U23" s="228" t="s">
        <v>712</v>
      </c>
      <c r="V23" s="229">
        <v>336199.74950999999</v>
      </c>
      <c r="W23" s="229">
        <v>0</v>
      </c>
      <c r="X23" s="229">
        <v>172828053.31977001</v>
      </c>
      <c r="Y23" s="229">
        <v>171693129.93298998</v>
      </c>
      <c r="Z23" s="229">
        <v>1471123.1362900001</v>
      </c>
      <c r="AA23" s="229">
        <v>0</v>
      </c>
      <c r="AB23" s="253">
        <f>Z23-AH22</f>
        <v>1454719.18099</v>
      </c>
    </row>
    <row r="24" spans="1:35">
      <c r="U24" s="228" t="s">
        <v>2052</v>
      </c>
      <c r="V24" s="229">
        <v>0</v>
      </c>
      <c r="W24" s="229">
        <v>0</v>
      </c>
      <c r="X24" s="229">
        <v>443298.51186000003</v>
      </c>
      <c r="Y24" s="229">
        <v>440837.80051999999</v>
      </c>
      <c r="Z24" s="229">
        <v>2460.7113399999998</v>
      </c>
      <c r="AA24" s="229">
        <v>0</v>
      </c>
      <c r="AB24" s="41">
        <f>Z24</f>
        <v>2460.7113399999998</v>
      </c>
    </row>
    <row r="25" spans="1:35">
      <c r="A25" s="60" t="s">
        <v>445</v>
      </c>
      <c r="U25" s="228" t="s">
        <v>713</v>
      </c>
      <c r="V25" s="229">
        <v>154535.01627000002</v>
      </c>
      <c r="W25" s="229">
        <v>0</v>
      </c>
      <c r="X25" s="229">
        <v>68168912.291160002</v>
      </c>
      <c r="Y25" s="229">
        <v>52285590.146870002</v>
      </c>
      <c r="Z25" s="229">
        <v>16037857.160560001</v>
      </c>
      <c r="AA25" s="229">
        <v>0</v>
      </c>
      <c r="AB25" s="41">
        <f>Z25</f>
        <v>16037857.160560001</v>
      </c>
    </row>
    <row r="27" spans="1:35">
      <c r="A27" s="211" t="s">
        <v>2046</v>
      </c>
      <c r="B27" s="245">
        <v>1261.8487700000001</v>
      </c>
      <c r="C27" s="245">
        <v>79807.743659999993</v>
      </c>
      <c r="D27" s="245">
        <v>80407.130709999998</v>
      </c>
      <c r="E27" s="245">
        <v>662.46172000000001</v>
      </c>
      <c r="F27" s="221" t="s">
        <v>2037</v>
      </c>
    </row>
    <row r="28" spans="1:35">
      <c r="A28" s="211" t="s">
        <v>2045</v>
      </c>
      <c r="B28" s="245">
        <v>0</v>
      </c>
      <c r="C28" s="245">
        <v>44838.264999999999</v>
      </c>
      <c r="D28" s="245">
        <v>44838.264999999999</v>
      </c>
      <c r="E28" s="245">
        <v>0</v>
      </c>
      <c r="F28" s="221"/>
      <c r="Y28" s="2">
        <v>1000</v>
      </c>
    </row>
    <row r="29" spans="1:35">
      <c r="A29" s="211" t="s">
        <v>2047</v>
      </c>
      <c r="B29" s="245">
        <v>0</v>
      </c>
      <c r="C29" s="245">
        <v>44838.264999999999</v>
      </c>
      <c r="D29" s="245">
        <v>44838.264999999999</v>
      </c>
      <c r="E29" s="245">
        <v>0</v>
      </c>
      <c r="F29" s="221"/>
    </row>
    <row r="30" spans="1:35">
      <c r="A30" s="211" t="s">
        <v>2048</v>
      </c>
      <c r="B30" s="245">
        <v>3402.76514</v>
      </c>
      <c r="C30" s="245">
        <v>88835.254000000001</v>
      </c>
      <c r="D30" s="245">
        <v>87690.225640000004</v>
      </c>
      <c r="E30" s="245">
        <v>4547.7934999999998</v>
      </c>
      <c r="F30" s="221" t="s">
        <v>472</v>
      </c>
    </row>
    <row r="31" spans="1:35" s="1" customFormat="1" ht="13.5" thickBot="1">
      <c r="A31" s="216"/>
      <c r="B31" s="42">
        <f>SUM(B27:B30)</f>
        <v>4664.61391</v>
      </c>
      <c r="C31" s="42">
        <f t="shared" ref="C31:E31" si="3">SUM(C27:C30)</f>
        <v>258319.52766000002</v>
      </c>
      <c r="D31" s="42">
        <f t="shared" si="3"/>
        <v>257773.88634999999</v>
      </c>
      <c r="E31" s="42">
        <f t="shared" si="3"/>
        <v>5210.25522</v>
      </c>
      <c r="U31" s="1" t="s">
        <v>712</v>
      </c>
      <c r="AB31" s="43">
        <f>E31</f>
        <v>5210.25522</v>
      </c>
    </row>
    <row r="32" spans="1:35" ht="13.5" thickTop="1">
      <c r="D32" s="61" t="s">
        <v>43</v>
      </c>
      <c r="E32" s="62" t="e">
        <f>ROUND(E31-ББ!#REF!,0)</f>
        <v>#REF!</v>
      </c>
    </row>
    <row r="34" spans="1:28">
      <c r="A34" s="251" t="s">
        <v>449</v>
      </c>
    </row>
    <row r="35" spans="1:28">
      <c r="A35" s="246" t="s">
        <v>62</v>
      </c>
      <c r="B35" s="247">
        <v>1079.0538100000001</v>
      </c>
      <c r="C35" s="247">
        <v>13778.733829999999</v>
      </c>
      <c r="D35" s="247">
        <v>13671.001420000001</v>
      </c>
      <c r="E35" s="247">
        <v>1186.78622</v>
      </c>
      <c r="F35" s="221" t="s">
        <v>472</v>
      </c>
      <c r="U35" s="1" t="s">
        <v>712</v>
      </c>
      <c r="AB35" s="41">
        <f>E35</f>
        <v>1186.78622</v>
      </c>
    </row>
    <row r="36" spans="1:28" ht="13.5" thickBot="1">
      <c r="A36" s="213"/>
      <c r="B36" s="42">
        <f>SUM(B35)</f>
        <v>1079.0538100000001</v>
      </c>
      <c r="C36" s="42">
        <f t="shared" ref="C36:E36" si="4">SUM(C35)</f>
        <v>13778.733829999999</v>
      </c>
      <c r="D36" s="42">
        <f t="shared" si="4"/>
        <v>13671.001420000001</v>
      </c>
      <c r="E36" s="42">
        <f t="shared" si="4"/>
        <v>1186.78622</v>
      </c>
    </row>
    <row r="37" spans="1:28" ht="13.5" thickTop="1">
      <c r="D37" s="61" t="s">
        <v>43</v>
      </c>
      <c r="E37" s="41" t="e">
        <f>ROUND(E36-ББ!#REF!,0)</f>
        <v>#REF!</v>
      </c>
    </row>
    <row r="38" spans="1:28">
      <c r="A38" s="67" t="s">
        <v>456</v>
      </c>
    </row>
    <row r="39" spans="1:28">
      <c r="A39" s="90" t="s">
        <v>58</v>
      </c>
      <c r="B39" s="91">
        <v>0</v>
      </c>
      <c r="C39" s="91">
        <v>1260.08214</v>
      </c>
      <c r="D39" s="91">
        <v>1246.2</v>
      </c>
      <c r="E39" s="91">
        <v>13.88214</v>
      </c>
      <c r="F39" s="221" t="s">
        <v>2037</v>
      </c>
    </row>
    <row r="40" spans="1:28">
      <c r="A40" s="248" t="s">
        <v>62</v>
      </c>
      <c r="B40" s="249">
        <v>0</v>
      </c>
      <c r="C40" s="249">
        <v>1356618.6594499999</v>
      </c>
      <c r="D40" s="249">
        <v>1279430.2450700002</v>
      </c>
      <c r="E40" s="249">
        <v>77188.414380000002</v>
      </c>
      <c r="F40" s="221" t="s">
        <v>472</v>
      </c>
    </row>
    <row r="41" spans="1:28" ht="13.5" thickBot="1">
      <c r="A41" s="213"/>
      <c r="B41" s="42">
        <f>SUM(B39:B40)</f>
        <v>0</v>
      </c>
      <c r="C41" s="42">
        <f t="shared" ref="C41:D41" si="5">SUM(C39:C40)</f>
        <v>1357878.74159</v>
      </c>
      <c r="D41" s="42">
        <f t="shared" si="5"/>
        <v>1280676.4450700001</v>
      </c>
      <c r="E41" s="42">
        <f>SUM(E39:E40)</f>
        <v>77202.296520000004</v>
      </c>
      <c r="U41" s="1" t="s">
        <v>712</v>
      </c>
      <c r="AB41" s="41">
        <f>E41</f>
        <v>77202.296520000004</v>
      </c>
    </row>
    <row r="42" spans="1:28" ht="13.5" thickTop="1">
      <c r="D42" s="61" t="s">
        <v>43</v>
      </c>
      <c r="E42" s="41" t="e">
        <f>ROUND(ББ!#REF!-E41,0)</f>
        <v>#REF!</v>
      </c>
    </row>
    <row r="44" spans="1:28">
      <c r="A44" s="250" t="s">
        <v>458</v>
      </c>
    </row>
    <row r="45" spans="1:28">
      <c r="A45" s="211" t="s">
        <v>2048</v>
      </c>
      <c r="B45" s="245">
        <v>4.2000600000000006</v>
      </c>
      <c r="C45" s="245">
        <v>359</v>
      </c>
      <c r="D45" s="245">
        <v>351.73933</v>
      </c>
      <c r="E45" s="245">
        <v>11.46073</v>
      </c>
      <c r="F45" s="221" t="s">
        <v>472</v>
      </c>
      <c r="G45" s="66"/>
      <c r="U45" s="1" t="s">
        <v>712</v>
      </c>
      <c r="AB45" s="41">
        <f>E45</f>
        <v>11.46073</v>
      </c>
    </row>
    <row r="46" spans="1:28" ht="13.5" thickBot="1">
      <c r="A46" s="213"/>
      <c r="B46" s="42">
        <f>SUM(B45)</f>
        <v>4.2000600000000006</v>
      </c>
      <c r="C46" s="42">
        <f t="shared" ref="C46:E46" si="6">SUM(C45)</f>
        <v>359</v>
      </c>
      <c r="D46" s="42">
        <f t="shared" si="6"/>
        <v>351.73933</v>
      </c>
      <c r="E46" s="42">
        <f t="shared" si="6"/>
        <v>11.46073</v>
      </c>
    </row>
    <row r="47" spans="1:28" ht="13.5" thickTop="1"/>
    <row r="48" spans="1:28">
      <c r="B48" s="41">
        <f>B46+B36+B31+B22+B15</f>
        <v>988388.82522999996</v>
      </c>
      <c r="E48" s="41">
        <f>E46+E36+E31+E22+E15+E40</f>
        <v>18636909.04575</v>
      </c>
    </row>
    <row r="51" spans="1:7">
      <c r="A51" s="221" t="s">
        <v>472</v>
      </c>
      <c r="C51" s="252">
        <f>ROUND(SUMIF($F:$F,A51,$B:$B),0)</f>
        <v>660522</v>
      </c>
      <c r="D51" s="252"/>
      <c r="E51" s="252">
        <v>660522</v>
      </c>
      <c r="F51" s="253"/>
      <c r="G51" s="253">
        <f>C51-E51</f>
        <v>0</v>
      </c>
    </row>
    <row r="52" spans="1:7">
      <c r="A52" s="221" t="s">
        <v>2035</v>
      </c>
      <c r="C52" s="252">
        <f>ROUND(SUMIF($F:$F,A52,$B:$B),0)</f>
        <v>317000</v>
      </c>
      <c r="D52" s="252"/>
      <c r="E52" s="252">
        <v>317000</v>
      </c>
      <c r="F52" s="253"/>
      <c r="G52" s="253">
        <f t="shared" ref="G52:G54" si="7">C52-E52</f>
        <v>0</v>
      </c>
    </row>
    <row r="53" spans="1:7">
      <c r="A53" s="221" t="s">
        <v>2036</v>
      </c>
      <c r="C53" s="252">
        <f>ROUND(SUMIF($F:$F,F14,$B:$B),0)</f>
        <v>3711</v>
      </c>
      <c r="D53" s="252"/>
      <c r="E53" s="252">
        <v>3711</v>
      </c>
      <c r="F53" s="253"/>
      <c r="G53" s="253">
        <f t="shared" si="7"/>
        <v>0</v>
      </c>
    </row>
    <row r="54" spans="1:7">
      <c r="A54" s="221" t="s">
        <v>2037</v>
      </c>
      <c r="C54" s="252">
        <f>ROUND(SUMIF($F:$F,A54,$B:$B),0)</f>
        <v>7156</v>
      </c>
      <c r="D54" s="252"/>
      <c r="E54" s="252">
        <v>7156</v>
      </c>
      <c r="F54" s="253"/>
      <c r="G54" s="253">
        <f t="shared" si="7"/>
        <v>0</v>
      </c>
    </row>
  </sheetData>
  <mergeCells count="37">
    <mergeCell ref="Z19:Z20"/>
    <mergeCell ref="AA19:AA20"/>
    <mergeCell ref="U19:U20"/>
    <mergeCell ref="V19:V20"/>
    <mergeCell ref="W19:W20"/>
    <mergeCell ref="X19:X20"/>
    <mergeCell ref="Y19:Y20"/>
    <mergeCell ref="AD18:AE18"/>
    <mergeCell ref="AF18:AG18"/>
    <mergeCell ref="AH18:AI18"/>
    <mergeCell ref="AC19:AC20"/>
    <mergeCell ref="AD19:AD20"/>
    <mergeCell ref="AE19:AE20"/>
    <mergeCell ref="AF19:AF20"/>
    <mergeCell ref="AG19:AG20"/>
    <mergeCell ref="AH19:AH20"/>
    <mergeCell ref="AI19:AI20"/>
    <mergeCell ref="V10:W10"/>
    <mergeCell ref="X10:Y10"/>
    <mergeCell ref="Z10:AA10"/>
    <mergeCell ref="U11:U12"/>
    <mergeCell ref="V11:V12"/>
    <mergeCell ref="W11:W12"/>
    <mergeCell ref="X11:X12"/>
    <mergeCell ref="Y11:Y12"/>
    <mergeCell ref="Z11:Z12"/>
    <mergeCell ref="AA11:AA12"/>
    <mergeCell ref="AD10:AE10"/>
    <mergeCell ref="AF10:AG10"/>
    <mergeCell ref="AH10:AI10"/>
    <mergeCell ref="AC11:AC12"/>
    <mergeCell ref="AD11:AD12"/>
    <mergeCell ref="AE11:AE12"/>
    <mergeCell ref="AF11:AF12"/>
    <mergeCell ref="AG11:AG12"/>
    <mergeCell ref="AH11:AH12"/>
    <mergeCell ref="AI11:AI1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4"/>
  <sheetViews>
    <sheetView zoomScale="80" zoomScaleNormal="80" workbookViewId="0">
      <selection activeCell="A12" sqref="A12"/>
    </sheetView>
  </sheetViews>
  <sheetFormatPr defaultColWidth="8.7109375" defaultRowHeight="12.75"/>
  <cols>
    <col min="1" max="2" width="8.85546875" style="2" bestFit="1" customWidth="1"/>
    <col min="3" max="3" width="119.42578125" style="2" customWidth="1"/>
    <col min="4" max="4" width="9.28515625" style="2" bestFit="1" customWidth="1"/>
    <col min="5" max="5" width="9.140625" style="2" bestFit="1" customWidth="1"/>
    <col min="6" max="6" width="17.140625" style="2" customWidth="1"/>
    <col min="7" max="7" width="9.140625" style="2" bestFit="1" customWidth="1"/>
    <col min="8" max="16384" width="8.7109375" style="2"/>
  </cols>
  <sheetData>
    <row r="1" spans="1:7">
      <c r="A1" s="272" t="s">
        <v>342</v>
      </c>
      <c r="B1" s="1004" t="s">
        <v>343</v>
      </c>
      <c r="C1" s="1004" t="s">
        <v>54</v>
      </c>
      <c r="D1" s="1004" t="s">
        <v>55</v>
      </c>
    </row>
    <row r="2" spans="1:7">
      <c r="A2" s="272" t="s">
        <v>695</v>
      </c>
      <c r="B2" s="1005"/>
      <c r="C2" s="1005"/>
      <c r="D2" s="1005"/>
    </row>
    <row r="3" spans="1:7">
      <c r="A3" s="276">
        <v>2184</v>
      </c>
      <c r="B3" s="277" t="s">
        <v>344</v>
      </c>
      <c r="C3" s="278">
        <v>0</v>
      </c>
      <c r="D3" s="278">
        <v>808696.77691000002</v>
      </c>
    </row>
    <row r="4" spans="1:7">
      <c r="A4" s="279" t="s">
        <v>712</v>
      </c>
      <c r="B4" s="279" t="s">
        <v>344</v>
      </c>
      <c r="C4" s="280">
        <v>0</v>
      </c>
      <c r="D4" s="280">
        <v>808696.77691000002</v>
      </c>
    </row>
    <row r="5" spans="1:7">
      <c r="A5" s="281"/>
      <c r="B5" s="282">
        <v>7400</v>
      </c>
      <c r="C5" s="283">
        <v>0</v>
      </c>
      <c r="D5" s="284">
        <v>-364416.30541000003</v>
      </c>
    </row>
    <row r="6" spans="1:7">
      <c r="A6" s="281"/>
      <c r="B6" s="282">
        <v>7440</v>
      </c>
      <c r="C6" s="283">
        <v>0</v>
      </c>
      <c r="D6" s="284">
        <v>-364416.30541000003</v>
      </c>
    </row>
    <row r="7" spans="1:7">
      <c r="A7" s="279"/>
      <c r="B7" s="279" t="s">
        <v>345</v>
      </c>
      <c r="C7" s="280">
        <v>0</v>
      </c>
      <c r="D7" s="285">
        <v>-364416.30541000003</v>
      </c>
    </row>
    <row r="8" spans="1:7">
      <c r="A8" s="279"/>
      <c r="B8" s="279" t="s">
        <v>346</v>
      </c>
      <c r="C8" s="280">
        <v>0</v>
      </c>
      <c r="D8" s="280">
        <v>444280.47149999999</v>
      </c>
    </row>
    <row r="9" spans="1:7">
      <c r="A9" s="277"/>
      <c r="B9" s="277" t="s">
        <v>345</v>
      </c>
      <c r="C9" s="278">
        <v>0</v>
      </c>
      <c r="D9" s="286">
        <v>-364416.30541000003</v>
      </c>
    </row>
    <row r="10" spans="1:7">
      <c r="A10" s="277"/>
      <c r="B10" s="277" t="s">
        <v>346</v>
      </c>
      <c r="C10" s="278">
        <v>0</v>
      </c>
      <c r="D10" s="278">
        <v>444280.47149999999</v>
      </c>
    </row>
    <row r="12" spans="1:7">
      <c r="A12" s="273" t="s">
        <v>342</v>
      </c>
      <c r="B12" s="1003" t="s">
        <v>51</v>
      </c>
      <c r="C12" s="1003"/>
      <c r="D12" s="1003" t="s">
        <v>52</v>
      </c>
      <c r="E12" s="1003"/>
      <c r="F12" s="1003" t="s">
        <v>53</v>
      </c>
      <c r="G12" s="1003"/>
    </row>
    <row r="13" spans="1:7">
      <c r="A13" s="1001" t="s">
        <v>700</v>
      </c>
      <c r="B13" s="999" t="s">
        <v>54</v>
      </c>
      <c r="C13" s="999" t="s">
        <v>55</v>
      </c>
      <c r="D13" s="999" t="s">
        <v>54</v>
      </c>
      <c r="E13" s="999" t="s">
        <v>55</v>
      </c>
      <c r="F13" s="999" t="s">
        <v>54</v>
      </c>
      <c r="G13" s="999" t="s">
        <v>55</v>
      </c>
    </row>
    <row r="14" spans="1:7">
      <c r="A14" s="1002"/>
      <c r="B14" s="1000"/>
      <c r="C14" s="1000"/>
      <c r="D14" s="1000"/>
      <c r="E14" s="1000"/>
      <c r="F14" s="1000"/>
      <c r="G14" s="1000"/>
    </row>
    <row r="15" spans="1:7">
      <c r="A15" s="274">
        <v>4110</v>
      </c>
      <c r="B15" s="275">
        <v>0</v>
      </c>
      <c r="C15" s="275">
        <v>1149975.56733</v>
      </c>
      <c r="D15" s="275">
        <v>993608.27410000004</v>
      </c>
      <c r="E15" s="275">
        <v>772149.53471000004</v>
      </c>
      <c r="F15" s="275">
        <v>0</v>
      </c>
      <c r="G15" s="275">
        <v>928516.8279400001</v>
      </c>
    </row>
    <row r="16" spans="1:7">
      <c r="A16" s="287" t="s">
        <v>1125</v>
      </c>
      <c r="B16" s="288">
        <v>0</v>
      </c>
      <c r="C16" s="288">
        <v>95708</v>
      </c>
      <c r="D16" s="289">
        <v>-128771</v>
      </c>
      <c r="E16" s="289">
        <v>-224479</v>
      </c>
      <c r="F16" s="288">
        <v>0</v>
      </c>
      <c r="G16" s="288">
        <v>0</v>
      </c>
    </row>
    <row r="17" spans="1:7">
      <c r="A17" s="287" t="s">
        <v>2074</v>
      </c>
      <c r="B17" s="288">
        <v>0</v>
      </c>
      <c r="C17" s="288">
        <v>487063.88900000002</v>
      </c>
      <c r="D17" s="288">
        <v>0</v>
      </c>
      <c r="E17" s="288">
        <v>0</v>
      </c>
      <c r="F17" s="288">
        <v>0</v>
      </c>
      <c r="G17" s="288">
        <v>487063.88900000002</v>
      </c>
    </row>
    <row r="18" spans="1:7">
      <c r="A18" s="287" t="s">
        <v>2075</v>
      </c>
      <c r="B18" s="288">
        <v>0</v>
      </c>
      <c r="C18" s="288">
        <v>567203.67833000002</v>
      </c>
      <c r="D18" s="288">
        <v>842281.11278999993</v>
      </c>
      <c r="E18" s="288">
        <v>424690.13391999999</v>
      </c>
      <c r="F18" s="288">
        <v>0</v>
      </c>
      <c r="G18" s="288">
        <v>149612.69946</v>
      </c>
    </row>
    <row r="19" spans="1:7">
      <c r="A19" s="287" t="s">
        <v>2076</v>
      </c>
      <c r="B19" s="288">
        <v>0</v>
      </c>
      <c r="C19" s="288">
        <v>0</v>
      </c>
      <c r="D19" s="288">
        <v>280098.16131</v>
      </c>
      <c r="E19" s="288">
        <v>571938.40078999999</v>
      </c>
      <c r="F19" s="288">
        <v>0</v>
      </c>
      <c r="G19" s="288">
        <v>291840.23948000005</v>
      </c>
    </row>
    <row r="23" spans="1:7" ht="15">
      <c r="A23" s="388" t="s">
        <v>44</v>
      </c>
      <c r="B23" s="145"/>
      <c r="C23" s="145"/>
      <c r="D23" s="145"/>
      <c r="E23" s="145"/>
      <c r="F23" s="145"/>
      <c r="G23" s="145"/>
    </row>
    <row r="24" spans="1:7" ht="15.75">
      <c r="A24" s="389" t="s">
        <v>2176</v>
      </c>
      <c r="B24" s="145"/>
      <c r="C24" s="145"/>
      <c r="D24" s="145"/>
      <c r="E24" s="145"/>
      <c r="F24" s="145"/>
      <c r="G24" s="145"/>
    </row>
    <row r="25" spans="1:7" ht="15">
      <c r="A25" s="145" t="s">
        <v>46</v>
      </c>
      <c r="B25" s="145" t="s">
        <v>47</v>
      </c>
      <c r="C25" s="145"/>
      <c r="D25" s="145"/>
      <c r="E25" s="145"/>
      <c r="F25" s="145"/>
      <c r="G25" s="145"/>
    </row>
    <row r="26" spans="1:7" ht="15">
      <c r="A26" s="145" t="s">
        <v>48</v>
      </c>
      <c r="B26" s="145" t="s">
        <v>2177</v>
      </c>
      <c r="C26" s="145"/>
      <c r="D26" s="145"/>
      <c r="E26" s="145"/>
      <c r="F26" s="145"/>
      <c r="G26" s="145"/>
    </row>
    <row r="27" spans="1:7">
      <c r="A27" s="375" t="s">
        <v>726</v>
      </c>
      <c r="B27" s="376" t="s">
        <v>727</v>
      </c>
      <c r="C27" s="376" t="s">
        <v>728</v>
      </c>
      <c r="D27" s="377" t="s">
        <v>729</v>
      </c>
      <c r="E27" s="376" t="s">
        <v>54</v>
      </c>
      <c r="F27" s="378" t="s">
        <v>55</v>
      </c>
      <c r="G27" s="378"/>
    </row>
    <row r="28" spans="1:7">
      <c r="A28" s="379"/>
      <c r="B28" s="380"/>
      <c r="C28" s="380"/>
      <c r="D28" s="381"/>
      <c r="E28" s="378" t="s">
        <v>342</v>
      </c>
      <c r="F28" s="382" t="s">
        <v>342</v>
      </c>
      <c r="G28" s="383"/>
    </row>
    <row r="29" spans="1:7">
      <c r="A29" s="384" t="s">
        <v>2178</v>
      </c>
      <c r="B29" s="384"/>
      <c r="C29" s="384"/>
      <c r="D29" s="384"/>
      <c r="E29" s="385"/>
      <c r="F29" s="385"/>
      <c r="G29" s="385"/>
    </row>
    <row r="30" spans="1:7">
      <c r="A30" s="386" t="s">
        <v>2179</v>
      </c>
      <c r="B30" s="386" t="s">
        <v>2180</v>
      </c>
      <c r="C30" s="386" t="s">
        <v>2181</v>
      </c>
      <c r="D30" s="386" t="s">
        <v>2182</v>
      </c>
      <c r="E30" s="387">
        <v>7447</v>
      </c>
      <c r="F30" s="387">
        <v>2184</v>
      </c>
      <c r="G30" s="390">
        <v>-2443.92</v>
      </c>
    </row>
    <row r="31" spans="1:7" hidden="1">
      <c r="A31" s="386" t="s">
        <v>2183</v>
      </c>
      <c r="B31" s="386" t="s">
        <v>2184</v>
      </c>
      <c r="C31" s="386" t="s">
        <v>2181</v>
      </c>
      <c r="D31" s="386" t="s">
        <v>2185</v>
      </c>
      <c r="E31" s="387">
        <v>7447</v>
      </c>
      <c r="F31" s="387">
        <v>2184</v>
      </c>
      <c r="G31" s="390">
        <v>-7801</v>
      </c>
    </row>
    <row r="32" spans="1:7" hidden="1">
      <c r="A32" s="386" t="s">
        <v>2183</v>
      </c>
      <c r="B32" s="386" t="s">
        <v>2184</v>
      </c>
      <c r="C32" s="386" t="s">
        <v>2181</v>
      </c>
      <c r="D32" s="386" t="s">
        <v>2186</v>
      </c>
      <c r="E32" s="387">
        <v>7447</v>
      </c>
      <c r="F32" s="387">
        <v>2184</v>
      </c>
      <c r="G32" s="390">
        <v>-40</v>
      </c>
    </row>
    <row r="33" spans="1:7" hidden="1">
      <c r="A33" s="386" t="s">
        <v>2187</v>
      </c>
      <c r="B33" s="386" t="s">
        <v>2188</v>
      </c>
      <c r="C33" s="386" t="s">
        <v>2189</v>
      </c>
      <c r="D33" s="386" t="s">
        <v>2190</v>
      </c>
      <c r="E33" s="387">
        <v>7447</v>
      </c>
      <c r="F33" s="387">
        <v>2184</v>
      </c>
      <c r="G33" s="390">
        <v>-568.54999999999995</v>
      </c>
    </row>
    <row r="34" spans="1:7" hidden="1">
      <c r="A34" s="386" t="s">
        <v>2187</v>
      </c>
      <c r="B34" s="386" t="s">
        <v>2188</v>
      </c>
      <c r="C34" s="386" t="s">
        <v>2189</v>
      </c>
      <c r="D34" s="386" t="s">
        <v>2191</v>
      </c>
      <c r="E34" s="387">
        <v>7447</v>
      </c>
      <c r="F34" s="387">
        <v>2184</v>
      </c>
      <c r="G34" s="390">
        <v>-1152.2739999999999</v>
      </c>
    </row>
    <row r="35" spans="1:7" hidden="1">
      <c r="A35" s="386" t="s">
        <v>2187</v>
      </c>
      <c r="B35" s="386" t="s">
        <v>2188</v>
      </c>
      <c r="C35" s="386" t="s">
        <v>2189</v>
      </c>
      <c r="D35" s="386" t="s">
        <v>2192</v>
      </c>
      <c r="E35" s="387">
        <v>7447</v>
      </c>
      <c r="F35" s="387">
        <v>2184</v>
      </c>
      <c r="G35" s="390">
        <v>-10000</v>
      </c>
    </row>
    <row r="36" spans="1:7" hidden="1">
      <c r="A36" s="386" t="s">
        <v>2187</v>
      </c>
      <c r="B36" s="386" t="s">
        <v>2188</v>
      </c>
      <c r="C36" s="386" t="s">
        <v>2189</v>
      </c>
      <c r="D36" s="386" t="s">
        <v>2193</v>
      </c>
      <c r="E36" s="387">
        <v>7447</v>
      </c>
      <c r="F36" s="387">
        <v>2184</v>
      </c>
      <c r="G36" s="390">
        <v>-60000</v>
      </c>
    </row>
    <row r="37" spans="1:7" hidden="1">
      <c r="A37" s="386" t="s">
        <v>2187</v>
      </c>
      <c r="B37" s="386" t="s">
        <v>2188</v>
      </c>
      <c r="C37" s="386" t="s">
        <v>2189</v>
      </c>
      <c r="D37" s="386" t="s">
        <v>2194</v>
      </c>
      <c r="E37" s="387">
        <v>7447</v>
      </c>
      <c r="F37" s="387">
        <v>2184</v>
      </c>
      <c r="G37" s="390">
        <v>-5.0000000000000001E-4</v>
      </c>
    </row>
    <row r="38" spans="1:7" hidden="1">
      <c r="A38" s="386" t="s">
        <v>2187</v>
      </c>
      <c r="B38" s="386" t="s">
        <v>2188</v>
      </c>
      <c r="C38" s="386" t="s">
        <v>2189</v>
      </c>
      <c r="D38" s="386" t="s">
        <v>2195</v>
      </c>
      <c r="E38" s="387">
        <v>7447</v>
      </c>
      <c r="F38" s="387">
        <v>2184</v>
      </c>
      <c r="G38" s="390">
        <v>-276</v>
      </c>
    </row>
    <row r="39" spans="1:7" hidden="1">
      <c r="A39" s="386" t="s">
        <v>2196</v>
      </c>
      <c r="B39" s="386" t="s">
        <v>2197</v>
      </c>
      <c r="C39" s="386" t="s">
        <v>2181</v>
      </c>
      <c r="D39" s="386" t="s">
        <v>2198</v>
      </c>
      <c r="E39" s="387">
        <v>7447</v>
      </c>
      <c r="F39" s="387">
        <v>2184</v>
      </c>
      <c r="G39" s="390">
        <v>-38057.502939999998</v>
      </c>
    </row>
    <row r="40" spans="1:7" hidden="1">
      <c r="A40" s="386" t="s">
        <v>2196</v>
      </c>
      <c r="B40" s="386" t="s">
        <v>2197</v>
      </c>
      <c r="C40" s="386" t="s">
        <v>2181</v>
      </c>
      <c r="D40" s="386" t="s">
        <v>2199</v>
      </c>
      <c r="E40" s="387">
        <v>7447</v>
      </c>
      <c r="F40" s="387">
        <v>2184</v>
      </c>
      <c r="G40" s="390">
        <v>-266.56864000000002</v>
      </c>
    </row>
    <row r="41" spans="1:7" hidden="1">
      <c r="A41" s="386" t="s">
        <v>2196</v>
      </c>
      <c r="B41" s="386" t="s">
        <v>2197</v>
      </c>
      <c r="C41" s="386" t="s">
        <v>2181</v>
      </c>
      <c r="D41" s="386" t="s">
        <v>2200</v>
      </c>
      <c r="E41" s="387">
        <v>7447</v>
      </c>
      <c r="F41" s="387">
        <v>2184</v>
      </c>
      <c r="G41" s="390">
        <v>-1E-3</v>
      </c>
    </row>
    <row r="42" spans="1:7" hidden="1">
      <c r="A42" s="386" t="s">
        <v>2201</v>
      </c>
      <c r="B42" s="386" t="s">
        <v>2202</v>
      </c>
      <c r="C42" s="386" t="s">
        <v>2181</v>
      </c>
      <c r="D42" s="386" t="s">
        <v>2203</v>
      </c>
      <c r="E42" s="387">
        <v>7447</v>
      </c>
      <c r="F42" s="387">
        <v>2184</v>
      </c>
      <c r="G42" s="390">
        <v>-649.79999999999995</v>
      </c>
    </row>
    <row r="43" spans="1:7" hidden="1">
      <c r="A43" s="386" t="s">
        <v>2204</v>
      </c>
      <c r="B43" s="386" t="s">
        <v>2205</v>
      </c>
      <c r="C43" s="386" t="s">
        <v>2181</v>
      </c>
      <c r="D43" s="386" t="s">
        <v>2186</v>
      </c>
      <c r="E43" s="387">
        <v>7447</v>
      </c>
      <c r="F43" s="387">
        <v>2184</v>
      </c>
      <c r="G43" s="390">
        <v>-15</v>
      </c>
    </row>
    <row r="44" spans="1:7" hidden="1">
      <c r="A44" s="386" t="s">
        <v>2204</v>
      </c>
      <c r="B44" s="386" t="s">
        <v>2205</v>
      </c>
      <c r="C44" s="386" t="s">
        <v>2181</v>
      </c>
      <c r="D44" s="386" t="s">
        <v>2206</v>
      </c>
      <c r="E44" s="387">
        <v>7447</v>
      </c>
      <c r="F44" s="387">
        <v>2184</v>
      </c>
      <c r="G44" s="390">
        <v>-642.18731000000002</v>
      </c>
    </row>
    <row r="45" spans="1:7" hidden="1">
      <c r="A45" s="386" t="s">
        <v>2204</v>
      </c>
      <c r="B45" s="386" t="s">
        <v>2207</v>
      </c>
      <c r="C45" s="386" t="s">
        <v>2181</v>
      </c>
      <c r="D45" s="386" t="s">
        <v>2208</v>
      </c>
      <c r="E45" s="387">
        <v>7447</v>
      </c>
      <c r="F45" s="387">
        <v>2184</v>
      </c>
      <c r="G45" s="390">
        <v>-6671.72</v>
      </c>
    </row>
    <row r="46" spans="1:7" hidden="1">
      <c r="A46" s="386" t="s">
        <v>2204</v>
      </c>
      <c r="B46" s="386" t="s">
        <v>2207</v>
      </c>
      <c r="C46" s="386" t="s">
        <v>2181</v>
      </c>
      <c r="D46" s="386" t="s">
        <v>2209</v>
      </c>
      <c r="E46" s="387">
        <v>7447</v>
      </c>
      <c r="F46" s="387">
        <v>2184</v>
      </c>
      <c r="G46" s="390">
        <v>-4747</v>
      </c>
    </row>
    <row r="47" spans="1:7" hidden="1">
      <c r="A47" s="386" t="s">
        <v>2210</v>
      </c>
      <c r="B47" s="386" t="s">
        <v>2211</v>
      </c>
      <c r="C47" s="386" t="s">
        <v>2181</v>
      </c>
      <c r="D47" s="386" t="s">
        <v>2212</v>
      </c>
      <c r="E47" s="387">
        <v>7447</v>
      </c>
      <c r="F47" s="387">
        <v>2184</v>
      </c>
      <c r="G47" s="390">
        <v>-2457</v>
      </c>
    </row>
    <row r="48" spans="1:7" hidden="1">
      <c r="A48" s="386" t="s">
        <v>2210</v>
      </c>
      <c r="B48" s="386" t="s">
        <v>2211</v>
      </c>
      <c r="C48" s="386" t="s">
        <v>2181</v>
      </c>
      <c r="D48" s="386" t="s">
        <v>2213</v>
      </c>
      <c r="E48" s="387">
        <v>7447</v>
      </c>
      <c r="F48" s="387">
        <v>2184</v>
      </c>
      <c r="G48" s="390">
        <v>-6570</v>
      </c>
    </row>
    <row r="49" spans="1:7" hidden="1">
      <c r="A49" s="386" t="s">
        <v>2210</v>
      </c>
      <c r="B49" s="386" t="s">
        <v>2211</v>
      </c>
      <c r="C49" s="386" t="s">
        <v>2181</v>
      </c>
      <c r="D49" s="386" t="s">
        <v>2214</v>
      </c>
      <c r="E49" s="387">
        <v>7447</v>
      </c>
      <c r="F49" s="387">
        <v>2184</v>
      </c>
      <c r="G49" s="390">
        <v>-507.85700000000003</v>
      </c>
    </row>
    <row r="50" spans="1:7" hidden="1">
      <c r="A50" s="386" t="s">
        <v>2210</v>
      </c>
      <c r="B50" s="386" t="s">
        <v>2211</v>
      </c>
      <c r="C50" s="386" t="s">
        <v>2181</v>
      </c>
      <c r="D50" s="386" t="s">
        <v>2215</v>
      </c>
      <c r="E50" s="387">
        <v>7447</v>
      </c>
      <c r="F50" s="387">
        <v>2184</v>
      </c>
      <c r="G50" s="390">
        <v>-127.738</v>
      </c>
    </row>
    <row r="51" spans="1:7" hidden="1">
      <c r="A51" s="386" t="s">
        <v>2210</v>
      </c>
      <c r="B51" s="386" t="s">
        <v>2211</v>
      </c>
      <c r="C51" s="386" t="s">
        <v>2181</v>
      </c>
      <c r="D51" s="386" t="s">
        <v>2216</v>
      </c>
      <c r="E51" s="387">
        <v>7447</v>
      </c>
      <c r="F51" s="387">
        <v>2184</v>
      </c>
      <c r="G51" s="390">
        <v>-538.92825000000005</v>
      </c>
    </row>
    <row r="52" spans="1:7" hidden="1">
      <c r="A52" s="386" t="s">
        <v>2217</v>
      </c>
      <c r="B52" s="386" t="s">
        <v>2218</v>
      </c>
      <c r="C52" s="386" t="s">
        <v>2181</v>
      </c>
      <c r="D52" s="386" t="s">
        <v>2219</v>
      </c>
      <c r="E52" s="387">
        <v>7447</v>
      </c>
      <c r="F52" s="387">
        <v>2184</v>
      </c>
      <c r="G52" s="390">
        <v>-332921.13019</v>
      </c>
    </row>
    <row r="53" spans="1:7" hidden="1">
      <c r="A53" s="386" t="s">
        <v>2217</v>
      </c>
      <c r="B53" s="386" t="s">
        <v>2218</v>
      </c>
      <c r="C53" s="386" t="s">
        <v>2181</v>
      </c>
      <c r="D53" s="386" t="s">
        <v>2212</v>
      </c>
      <c r="E53" s="387">
        <v>7447</v>
      </c>
      <c r="F53" s="387">
        <v>2184</v>
      </c>
      <c r="G53" s="390">
        <v>-8372.25</v>
      </c>
    </row>
    <row r="54" spans="1:7" hidden="1">
      <c r="A54" s="386" t="s">
        <v>2217</v>
      </c>
      <c r="B54" s="386" t="s">
        <v>2218</v>
      </c>
      <c r="C54" s="386" t="s">
        <v>2181</v>
      </c>
      <c r="D54" s="386" t="s">
        <v>2213</v>
      </c>
      <c r="E54" s="387">
        <v>7447</v>
      </c>
      <c r="F54" s="387">
        <v>2184</v>
      </c>
      <c r="G54" s="390">
        <v>-8372.25</v>
      </c>
    </row>
    <row r="55" spans="1:7" hidden="1">
      <c r="A55" s="386" t="s">
        <v>2217</v>
      </c>
      <c r="B55" s="386" t="s">
        <v>2218</v>
      </c>
      <c r="C55" s="386" t="s">
        <v>2181</v>
      </c>
      <c r="D55" s="386" t="s">
        <v>2220</v>
      </c>
      <c r="E55" s="387">
        <v>7447</v>
      </c>
      <c r="F55" s="387">
        <v>2184</v>
      </c>
      <c r="G55" s="390">
        <v>-1507.4878100000001</v>
      </c>
    </row>
    <row r="56" spans="1:7" hidden="1">
      <c r="A56" s="386" t="s">
        <v>2217</v>
      </c>
      <c r="B56" s="386" t="s">
        <v>2218</v>
      </c>
      <c r="C56" s="386" t="s">
        <v>2181</v>
      </c>
      <c r="D56" s="386" t="s">
        <v>2221</v>
      </c>
      <c r="E56" s="387">
        <v>7447</v>
      </c>
      <c r="F56" s="387">
        <v>2184</v>
      </c>
      <c r="G56" s="390">
        <v>-336.02</v>
      </c>
    </row>
    <row r="57" spans="1:7" hidden="1">
      <c r="A57" s="386" t="s">
        <v>2217</v>
      </c>
      <c r="B57" s="386" t="s">
        <v>2218</v>
      </c>
      <c r="C57" s="386" t="s">
        <v>2181</v>
      </c>
      <c r="D57" s="386" t="s">
        <v>2222</v>
      </c>
      <c r="E57" s="387">
        <v>7447</v>
      </c>
      <c r="F57" s="387">
        <v>2184</v>
      </c>
      <c r="G57" s="390">
        <v>-173.96</v>
      </c>
    </row>
    <row r="58" spans="1:7" hidden="1">
      <c r="A58" s="386" t="s">
        <v>2223</v>
      </c>
      <c r="B58" s="386" t="s">
        <v>2224</v>
      </c>
      <c r="C58" s="386" t="s">
        <v>2181</v>
      </c>
      <c r="D58" s="386" t="s">
        <v>2225</v>
      </c>
      <c r="E58" s="387">
        <v>7447</v>
      </c>
      <c r="F58" s="387">
        <v>2184</v>
      </c>
      <c r="G58" s="390">
        <v>-2690.7</v>
      </c>
    </row>
    <row r="59" spans="1:7" hidden="1">
      <c r="A59" s="386" t="s">
        <v>2223</v>
      </c>
      <c r="B59" s="386" t="s">
        <v>2224</v>
      </c>
      <c r="C59" s="386" t="s">
        <v>2181</v>
      </c>
      <c r="D59" s="386" t="s">
        <v>2226</v>
      </c>
      <c r="E59" s="387">
        <v>7447</v>
      </c>
      <c r="F59" s="387">
        <v>2184</v>
      </c>
      <c r="G59" s="390">
        <v>-1950</v>
      </c>
    </row>
    <row r="60" spans="1:7" hidden="1">
      <c r="A60" s="386" t="s">
        <v>2227</v>
      </c>
      <c r="B60" s="386" t="s">
        <v>2228</v>
      </c>
      <c r="C60" s="386" t="s">
        <v>2181</v>
      </c>
      <c r="D60" s="386" t="s">
        <v>2229</v>
      </c>
      <c r="E60" s="387">
        <v>7447</v>
      </c>
      <c r="F60" s="387">
        <v>2184</v>
      </c>
      <c r="G60" s="390">
        <v>-55</v>
      </c>
    </row>
    <row r="61" spans="1:7" hidden="1">
      <c r="A61" s="386" t="s">
        <v>2227</v>
      </c>
      <c r="B61" s="386" t="s">
        <v>2228</v>
      </c>
      <c r="C61" s="386" t="s">
        <v>2181</v>
      </c>
      <c r="D61" s="386" t="s">
        <v>2230</v>
      </c>
      <c r="E61" s="387">
        <v>7447</v>
      </c>
      <c r="F61" s="387">
        <v>2184</v>
      </c>
      <c r="G61" s="390">
        <v>-63.765000000000001</v>
      </c>
    </row>
    <row r="62" spans="1:7" hidden="1">
      <c r="A62" s="386" t="s">
        <v>2227</v>
      </c>
      <c r="B62" s="386" t="s">
        <v>2228</v>
      </c>
      <c r="C62" s="386" t="s">
        <v>2181</v>
      </c>
      <c r="D62" s="386" t="s">
        <v>2231</v>
      </c>
      <c r="E62" s="387">
        <v>7447</v>
      </c>
      <c r="F62" s="387">
        <v>2184</v>
      </c>
      <c r="G62" s="390">
        <v>-150.21</v>
      </c>
    </row>
    <row r="63" spans="1:7" hidden="1">
      <c r="A63" s="386" t="s">
        <v>2227</v>
      </c>
      <c r="B63" s="386" t="s">
        <v>2228</v>
      </c>
      <c r="C63" s="386" t="s">
        <v>2181</v>
      </c>
      <c r="D63" s="386" t="s">
        <v>2232</v>
      </c>
      <c r="E63" s="387">
        <v>7447</v>
      </c>
      <c r="F63" s="387">
        <v>2184</v>
      </c>
      <c r="G63" s="390">
        <v>-0.54432000000000003</v>
      </c>
    </row>
    <row r="64" spans="1:7" hidden="1">
      <c r="A64" s="386" t="s">
        <v>2227</v>
      </c>
      <c r="B64" s="386" t="s">
        <v>2228</v>
      </c>
      <c r="C64" s="386" t="s">
        <v>2181</v>
      </c>
      <c r="D64" s="386" t="s">
        <v>2233</v>
      </c>
      <c r="E64" s="387">
        <v>7447</v>
      </c>
      <c r="F64" s="387">
        <v>2184</v>
      </c>
      <c r="G64" s="390">
        <v>-28.846270000000001</v>
      </c>
    </row>
    <row r="65" spans="1:8" hidden="1">
      <c r="A65" s="386" t="s">
        <v>2227</v>
      </c>
      <c r="B65" s="386" t="s">
        <v>2228</v>
      </c>
      <c r="C65" s="386" t="s">
        <v>2181</v>
      </c>
      <c r="D65" s="386" t="s">
        <v>2234</v>
      </c>
      <c r="E65" s="387">
        <v>7447</v>
      </c>
      <c r="F65" s="387">
        <v>2184</v>
      </c>
      <c r="G65" s="390">
        <v>-1087.32</v>
      </c>
    </row>
    <row r="66" spans="1:8" hidden="1">
      <c r="A66" s="386" t="s">
        <v>2227</v>
      </c>
      <c r="B66" s="386" t="s">
        <v>2228</v>
      </c>
      <c r="C66" s="386" t="s">
        <v>2181</v>
      </c>
      <c r="D66" s="386" t="s">
        <v>2235</v>
      </c>
      <c r="E66" s="387">
        <v>7447</v>
      </c>
      <c r="F66" s="387">
        <v>2184</v>
      </c>
      <c r="G66" s="390">
        <v>-68.8125</v>
      </c>
    </row>
    <row r="67" spans="1:8" hidden="1">
      <c r="A67" s="386" t="s">
        <v>2227</v>
      </c>
      <c r="B67" s="386" t="s">
        <v>2228</v>
      </c>
      <c r="C67" s="386" t="s">
        <v>2181</v>
      </c>
      <c r="D67" s="386" t="s">
        <v>2236</v>
      </c>
      <c r="E67" s="387">
        <v>7447</v>
      </c>
      <c r="F67" s="387">
        <v>2184</v>
      </c>
      <c r="G67" s="390">
        <v>-1208.0197700000001</v>
      </c>
    </row>
    <row r="68" spans="1:8" hidden="1">
      <c r="A68" s="386" t="s">
        <v>2227</v>
      </c>
      <c r="B68" s="386" t="s">
        <v>2228</v>
      </c>
      <c r="C68" s="386" t="s">
        <v>2181</v>
      </c>
      <c r="D68" s="386" t="s">
        <v>2237</v>
      </c>
      <c r="E68" s="387">
        <v>7447</v>
      </c>
      <c r="F68" s="387">
        <v>2184</v>
      </c>
      <c r="G68" s="390">
        <v>-13496.736000000001</v>
      </c>
    </row>
    <row r="69" spans="1:8" hidden="1">
      <c r="A69" s="386" t="s">
        <v>2227</v>
      </c>
      <c r="B69" s="386" t="s">
        <v>2228</v>
      </c>
      <c r="C69" s="386" t="s">
        <v>2181</v>
      </c>
      <c r="D69" s="386" t="s">
        <v>2238</v>
      </c>
      <c r="E69" s="387">
        <v>7447</v>
      </c>
      <c r="F69" s="387">
        <v>2184</v>
      </c>
      <c r="G69" s="390">
        <v>-74</v>
      </c>
    </row>
    <row r="70" spans="1:8">
      <c r="A70" s="386" t="s">
        <v>2227</v>
      </c>
      <c r="B70" s="386" t="s">
        <v>2239</v>
      </c>
      <c r="C70" s="386" t="s">
        <v>2189</v>
      </c>
      <c r="D70" s="386" t="s">
        <v>2240</v>
      </c>
      <c r="E70" s="387">
        <v>7447</v>
      </c>
      <c r="F70" s="387">
        <v>2184</v>
      </c>
      <c r="G70" s="391">
        <v>250.25</v>
      </c>
      <c r="H70" s="2" t="s">
        <v>725</v>
      </c>
    </row>
    <row r="71" spans="1:8">
      <c r="A71" s="386" t="s">
        <v>2227</v>
      </c>
      <c r="B71" s="386" t="s">
        <v>2239</v>
      </c>
      <c r="C71" s="386" t="s">
        <v>2189</v>
      </c>
      <c r="D71" s="386" t="s">
        <v>2241</v>
      </c>
      <c r="E71" s="387">
        <v>7447</v>
      </c>
      <c r="F71" s="387">
        <v>2184</v>
      </c>
      <c r="G71" s="391">
        <v>10756.1684</v>
      </c>
      <c r="H71" s="2" t="s">
        <v>725</v>
      </c>
    </row>
    <row r="72" spans="1:8">
      <c r="A72" s="386" t="s">
        <v>2227</v>
      </c>
      <c r="B72" s="386" t="s">
        <v>2239</v>
      </c>
      <c r="C72" s="386" t="s">
        <v>2189</v>
      </c>
      <c r="D72" s="386" t="s">
        <v>2242</v>
      </c>
      <c r="E72" s="387">
        <v>7447</v>
      </c>
      <c r="F72" s="387">
        <v>2184</v>
      </c>
      <c r="G72" s="391">
        <v>84500</v>
      </c>
      <c r="H72" s="2" t="s">
        <v>725</v>
      </c>
    </row>
    <row r="73" spans="1:8">
      <c r="A73" s="386" t="s">
        <v>2227</v>
      </c>
      <c r="B73" s="386" t="s">
        <v>2243</v>
      </c>
      <c r="C73" s="386" t="s">
        <v>2189</v>
      </c>
      <c r="D73" s="386" t="s">
        <v>2244</v>
      </c>
      <c r="E73" s="387">
        <v>7447</v>
      </c>
      <c r="F73" s="387">
        <v>2184</v>
      </c>
      <c r="G73" s="391">
        <v>45</v>
      </c>
      <c r="H73" s="2" t="s">
        <v>725</v>
      </c>
    </row>
    <row r="74" spans="1:8">
      <c r="A74" s="386" t="s">
        <v>2227</v>
      </c>
      <c r="B74" s="386" t="s">
        <v>2239</v>
      </c>
      <c r="C74" s="386" t="s">
        <v>2189</v>
      </c>
      <c r="D74" s="386" t="s">
        <v>2245</v>
      </c>
      <c r="E74" s="387">
        <v>7447</v>
      </c>
      <c r="F74" s="387">
        <v>2184</v>
      </c>
      <c r="G74" s="391">
        <v>163.89238</v>
      </c>
      <c r="H74" s="2" t="s">
        <v>725</v>
      </c>
    </row>
    <row r="75" spans="1:8">
      <c r="A75" s="386" t="s">
        <v>2227</v>
      </c>
      <c r="B75" s="386" t="s">
        <v>2243</v>
      </c>
      <c r="C75" s="386" t="s">
        <v>2189</v>
      </c>
      <c r="D75" s="386" t="s">
        <v>2246</v>
      </c>
      <c r="E75" s="387">
        <v>7447</v>
      </c>
      <c r="F75" s="387">
        <v>2184</v>
      </c>
      <c r="G75" s="391">
        <v>2345</v>
      </c>
      <c r="H75" s="2" t="s">
        <v>725</v>
      </c>
    </row>
    <row r="76" spans="1:8">
      <c r="A76" s="386" t="s">
        <v>2227</v>
      </c>
      <c r="B76" s="386" t="s">
        <v>2243</v>
      </c>
      <c r="C76" s="386" t="s">
        <v>2189</v>
      </c>
      <c r="D76" s="386" t="s">
        <v>2247</v>
      </c>
      <c r="E76" s="387">
        <v>7447</v>
      </c>
      <c r="F76" s="387">
        <v>2184</v>
      </c>
      <c r="G76" s="391">
        <v>5221.8484000000008</v>
      </c>
      <c r="H76" s="2" t="s">
        <v>725</v>
      </c>
    </row>
    <row r="77" spans="1:8">
      <c r="A77" s="386" t="s">
        <v>2227</v>
      </c>
      <c r="B77" s="386" t="s">
        <v>2248</v>
      </c>
      <c r="C77" s="386" t="s">
        <v>2189</v>
      </c>
      <c r="D77" s="386" t="s">
        <v>2249</v>
      </c>
      <c r="E77" s="387">
        <v>7447</v>
      </c>
      <c r="F77" s="387">
        <v>2184</v>
      </c>
      <c r="G77" s="391">
        <v>174.3</v>
      </c>
      <c r="H77" s="2" t="s">
        <v>725</v>
      </c>
    </row>
    <row r="78" spans="1:8">
      <c r="A78" s="386" t="s">
        <v>2227</v>
      </c>
      <c r="B78" s="386" t="s">
        <v>2248</v>
      </c>
      <c r="C78" s="386" t="s">
        <v>2189</v>
      </c>
      <c r="D78" s="386" t="s">
        <v>2250</v>
      </c>
      <c r="E78" s="387">
        <v>7447</v>
      </c>
      <c r="F78" s="387">
        <v>2184</v>
      </c>
      <c r="G78" s="391">
        <v>6769.4613499999996</v>
      </c>
      <c r="H78" s="2" t="s">
        <v>725</v>
      </c>
    </row>
    <row r="79" spans="1:8">
      <c r="A79" s="386" t="s">
        <v>2227</v>
      </c>
      <c r="B79" s="386" t="s">
        <v>2243</v>
      </c>
      <c r="C79" s="386" t="s">
        <v>2189</v>
      </c>
      <c r="D79" s="386" t="s">
        <v>2250</v>
      </c>
      <c r="E79" s="387">
        <v>7447</v>
      </c>
      <c r="F79" s="387">
        <v>2184</v>
      </c>
      <c r="G79" s="391">
        <v>13828.938249999999</v>
      </c>
      <c r="H79" s="2" t="s">
        <v>725</v>
      </c>
    </row>
    <row r="80" spans="1:8">
      <c r="A80" s="386" t="s">
        <v>2227</v>
      </c>
      <c r="B80" s="386" t="s">
        <v>2243</v>
      </c>
      <c r="C80" s="386" t="s">
        <v>2189</v>
      </c>
      <c r="D80" s="386" t="s">
        <v>2251</v>
      </c>
      <c r="E80" s="387">
        <v>7447</v>
      </c>
      <c r="F80" s="387">
        <v>2184</v>
      </c>
      <c r="G80" s="391">
        <v>4453.4570000000003</v>
      </c>
      <c r="H80" s="2" t="s">
        <v>725</v>
      </c>
    </row>
    <row r="81" spans="1:8">
      <c r="A81" s="386" t="s">
        <v>2227</v>
      </c>
      <c r="B81" s="386" t="s">
        <v>2243</v>
      </c>
      <c r="C81" s="386" t="s">
        <v>2189</v>
      </c>
      <c r="D81" s="386" t="s">
        <v>2252</v>
      </c>
      <c r="E81" s="387">
        <v>7447</v>
      </c>
      <c r="F81" s="387">
        <v>2184</v>
      </c>
      <c r="G81" s="391">
        <v>14749.619000000001</v>
      </c>
      <c r="H81" s="2" t="s">
        <v>725</v>
      </c>
    </row>
    <row r="82" spans="1:8">
      <c r="A82" s="386" t="s">
        <v>2227</v>
      </c>
      <c r="B82" s="386" t="s">
        <v>2243</v>
      </c>
      <c r="C82" s="386" t="s">
        <v>2189</v>
      </c>
      <c r="D82" s="386" t="s">
        <v>2253</v>
      </c>
      <c r="E82" s="387">
        <v>7447</v>
      </c>
      <c r="F82" s="387">
        <v>2184</v>
      </c>
      <c r="G82" s="391">
        <v>35000</v>
      </c>
      <c r="H82" s="2" t="s">
        <v>725</v>
      </c>
    </row>
    <row r="83" spans="1:8">
      <c r="A83" s="386" t="s">
        <v>2227</v>
      </c>
      <c r="B83" s="386" t="s">
        <v>2243</v>
      </c>
      <c r="C83" s="386" t="s">
        <v>2189</v>
      </c>
      <c r="D83" s="386" t="s">
        <v>2254</v>
      </c>
      <c r="E83" s="387">
        <v>7447</v>
      </c>
      <c r="F83" s="387">
        <v>2184</v>
      </c>
      <c r="G83" s="391">
        <v>236.84950000000001</v>
      </c>
      <c r="H83" s="2" t="s">
        <v>725</v>
      </c>
    </row>
    <row r="84" spans="1:8">
      <c r="A84" s="386" t="s">
        <v>2227</v>
      </c>
      <c r="B84" s="386" t="s">
        <v>2243</v>
      </c>
      <c r="C84" s="386" t="s">
        <v>2189</v>
      </c>
      <c r="D84" s="386" t="s">
        <v>2255</v>
      </c>
      <c r="E84" s="387">
        <v>7447</v>
      </c>
      <c r="F84" s="387">
        <v>2184</v>
      </c>
      <c r="G84" s="391">
        <v>4374.2378399999998</v>
      </c>
      <c r="H84" s="2" t="s">
        <v>725</v>
      </c>
    </row>
    <row r="85" spans="1:8">
      <c r="A85" s="386" t="s">
        <v>2227</v>
      </c>
      <c r="B85" s="386" t="s">
        <v>2239</v>
      </c>
      <c r="C85" s="386" t="s">
        <v>2189</v>
      </c>
      <c r="D85" s="386" t="s">
        <v>2256</v>
      </c>
      <c r="E85" s="387">
        <v>7447</v>
      </c>
      <c r="F85" s="387">
        <v>2184</v>
      </c>
      <c r="G85" s="391">
        <v>12533.81</v>
      </c>
      <c r="H85" s="2" t="s">
        <v>725</v>
      </c>
    </row>
    <row r="86" spans="1:8">
      <c r="A86" s="386" t="s">
        <v>2227</v>
      </c>
      <c r="B86" s="386" t="s">
        <v>2243</v>
      </c>
      <c r="C86" s="386" t="s">
        <v>2189</v>
      </c>
      <c r="D86" s="386" t="s">
        <v>2256</v>
      </c>
      <c r="E86" s="387">
        <v>7447</v>
      </c>
      <c r="F86" s="387">
        <v>2184</v>
      </c>
      <c r="G86" s="391">
        <v>199983.34400000001</v>
      </c>
      <c r="H86" s="2" t="s">
        <v>725</v>
      </c>
    </row>
    <row r="87" spans="1:8">
      <c r="A87" s="386" t="s">
        <v>2227</v>
      </c>
      <c r="B87" s="386" t="s">
        <v>2239</v>
      </c>
      <c r="C87" s="386" t="s">
        <v>2189</v>
      </c>
      <c r="D87" s="386" t="s">
        <v>2257</v>
      </c>
      <c r="E87" s="387">
        <v>7447</v>
      </c>
      <c r="F87" s="387">
        <v>2184</v>
      </c>
      <c r="G87" s="391">
        <v>57.445</v>
      </c>
      <c r="H87" s="2" t="s">
        <v>725</v>
      </c>
    </row>
    <row r="88" spans="1:8">
      <c r="A88" s="386" t="s">
        <v>2227</v>
      </c>
      <c r="B88" s="386" t="s">
        <v>2243</v>
      </c>
      <c r="C88" s="386" t="s">
        <v>2189</v>
      </c>
      <c r="D88" s="386" t="s">
        <v>2258</v>
      </c>
      <c r="E88" s="387">
        <v>7447</v>
      </c>
      <c r="F88" s="387">
        <v>2184</v>
      </c>
      <c r="G88" s="391">
        <v>341.25</v>
      </c>
      <c r="H88" s="2" t="s">
        <v>725</v>
      </c>
    </row>
    <row r="89" spans="1:8">
      <c r="A89" s="386" t="s">
        <v>2227</v>
      </c>
      <c r="B89" s="386" t="s">
        <v>2243</v>
      </c>
      <c r="C89" s="386" t="s">
        <v>2189</v>
      </c>
      <c r="D89" s="386" t="s">
        <v>2259</v>
      </c>
      <c r="E89" s="387">
        <v>7447</v>
      </c>
      <c r="F89" s="387">
        <v>2184</v>
      </c>
      <c r="G89" s="391">
        <v>80.866500000000002</v>
      </c>
      <c r="H89" s="2" t="s">
        <v>725</v>
      </c>
    </row>
    <row r="90" spans="1:8">
      <c r="A90" s="386" t="s">
        <v>2227</v>
      </c>
      <c r="B90" s="386" t="s">
        <v>2248</v>
      </c>
      <c r="C90" s="386" t="s">
        <v>2189</v>
      </c>
      <c r="D90" s="386" t="s">
        <v>2260</v>
      </c>
      <c r="E90" s="387">
        <v>7447</v>
      </c>
      <c r="F90" s="387">
        <v>2184</v>
      </c>
      <c r="G90" s="391">
        <v>7532.67</v>
      </c>
      <c r="H90" s="2" t="s">
        <v>725</v>
      </c>
    </row>
    <row r="91" spans="1:8">
      <c r="A91" s="386" t="s">
        <v>2227</v>
      </c>
      <c r="B91" s="386" t="s">
        <v>2243</v>
      </c>
      <c r="C91" s="386" t="s">
        <v>2189</v>
      </c>
      <c r="D91" s="386" t="s">
        <v>2261</v>
      </c>
      <c r="E91" s="387">
        <v>7447</v>
      </c>
      <c r="F91" s="387">
        <v>2184</v>
      </c>
      <c r="G91" s="391">
        <v>3294.5790000000002</v>
      </c>
      <c r="H91" s="2" t="s">
        <v>725</v>
      </c>
    </row>
    <row r="92" spans="1:8">
      <c r="A92" s="386" t="s">
        <v>2227</v>
      </c>
      <c r="B92" s="386" t="s">
        <v>2243</v>
      </c>
      <c r="C92" s="386" t="s">
        <v>2189</v>
      </c>
      <c r="D92" s="386" t="s">
        <v>2262</v>
      </c>
      <c r="E92" s="387">
        <v>7447</v>
      </c>
      <c r="F92" s="387">
        <v>2184</v>
      </c>
      <c r="G92" s="391">
        <v>500</v>
      </c>
      <c r="H92" s="2" t="s">
        <v>725</v>
      </c>
    </row>
    <row r="93" spans="1:8">
      <c r="A93" s="386" t="s">
        <v>2227</v>
      </c>
      <c r="B93" s="386" t="s">
        <v>2239</v>
      </c>
      <c r="C93" s="386" t="s">
        <v>2189</v>
      </c>
      <c r="D93" s="386" t="s">
        <v>2263</v>
      </c>
      <c r="E93" s="387">
        <v>7447</v>
      </c>
      <c r="F93" s="387">
        <v>2184</v>
      </c>
      <c r="G93" s="391">
        <v>8</v>
      </c>
      <c r="H93" s="2" t="s">
        <v>725</v>
      </c>
    </row>
    <row r="94" spans="1:8">
      <c r="A94" s="386" t="s">
        <v>2227</v>
      </c>
      <c r="B94" s="386" t="s">
        <v>2243</v>
      </c>
      <c r="C94" s="386" t="s">
        <v>2189</v>
      </c>
      <c r="D94" s="386" t="s">
        <v>2264</v>
      </c>
      <c r="E94" s="387">
        <v>7447</v>
      </c>
      <c r="F94" s="387">
        <v>2184</v>
      </c>
      <c r="G94" s="391">
        <v>857.41425000000004</v>
      </c>
      <c r="H94" s="2" t="s">
        <v>725</v>
      </c>
    </row>
    <row r="95" spans="1:8">
      <c r="A95" s="386" t="s">
        <v>2227</v>
      </c>
      <c r="B95" s="386" t="s">
        <v>2243</v>
      </c>
      <c r="C95" s="386" t="s">
        <v>2189</v>
      </c>
      <c r="D95" s="386" t="s">
        <v>2265</v>
      </c>
      <c r="E95" s="387">
        <v>7447</v>
      </c>
      <c r="F95" s="387">
        <v>2184</v>
      </c>
      <c r="G95" s="391">
        <v>657500</v>
      </c>
      <c r="H95" s="2" t="s">
        <v>725</v>
      </c>
    </row>
    <row r="96" spans="1:8">
      <c r="A96" s="386" t="s">
        <v>2227</v>
      </c>
      <c r="B96" s="386" t="s">
        <v>2243</v>
      </c>
      <c r="C96" s="386" t="s">
        <v>2189</v>
      </c>
      <c r="D96" s="386" t="s">
        <v>2266</v>
      </c>
      <c r="E96" s="387">
        <v>7447</v>
      </c>
      <c r="F96" s="387">
        <v>2184</v>
      </c>
      <c r="G96" s="391">
        <v>5878.0709000000006</v>
      </c>
      <c r="H96" s="2" t="s">
        <v>725</v>
      </c>
    </row>
    <row r="97" spans="1:8">
      <c r="A97" s="386" t="s">
        <v>2227</v>
      </c>
      <c r="B97" s="386" t="s">
        <v>2243</v>
      </c>
      <c r="C97" s="386" t="s">
        <v>2189</v>
      </c>
      <c r="D97" s="386" t="s">
        <v>2267</v>
      </c>
      <c r="E97" s="387">
        <v>7447</v>
      </c>
      <c r="F97" s="387">
        <v>2184</v>
      </c>
      <c r="G97" s="391">
        <v>3.2000000000000003E-4</v>
      </c>
      <c r="H97" s="2" t="s">
        <v>725</v>
      </c>
    </row>
    <row r="98" spans="1:8">
      <c r="A98" s="386" t="s">
        <v>2227</v>
      </c>
      <c r="B98" s="386" t="s">
        <v>2243</v>
      </c>
      <c r="C98" s="386" t="s">
        <v>2189</v>
      </c>
      <c r="D98" s="386" t="s">
        <v>2268</v>
      </c>
      <c r="E98" s="387">
        <v>7447</v>
      </c>
      <c r="F98" s="387">
        <v>2184</v>
      </c>
      <c r="G98" s="391">
        <v>4.0949999999999998</v>
      </c>
      <c r="H98" s="2" t="s">
        <v>725</v>
      </c>
    </row>
    <row r="99" spans="1:8" hidden="1">
      <c r="A99" s="386" t="s">
        <v>2227</v>
      </c>
      <c r="B99" s="386" t="s">
        <v>2269</v>
      </c>
      <c r="C99" s="386" t="s">
        <v>2181</v>
      </c>
      <c r="D99" s="386" t="s">
        <v>2252</v>
      </c>
      <c r="E99" s="387">
        <v>7447</v>
      </c>
      <c r="F99" s="387">
        <v>2184</v>
      </c>
      <c r="G99" s="390">
        <v>-14749.619000000001</v>
      </c>
    </row>
    <row r="100" spans="1:8" hidden="1">
      <c r="A100" s="386" t="s">
        <v>2227</v>
      </c>
      <c r="B100" s="386" t="s">
        <v>2269</v>
      </c>
      <c r="C100" s="386" t="s">
        <v>2181</v>
      </c>
      <c r="D100" s="386" t="s">
        <v>2253</v>
      </c>
      <c r="E100" s="387">
        <v>7447</v>
      </c>
      <c r="F100" s="387">
        <v>2184</v>
      </c>
      <c r="G100" s="390">
        <v>-35000</v>
      </c>
    </row>
    <row r="101" spans="1:8" hidden="1">
      <c r="A101" s="386" t="s">
        <v>2227</v>
      </c>
      <c r="B101" s="386" t="s">
        <v>2269</v>
      </c>
      <c r="C101" s="386" t="s">
        <v>2181</v>
      </c>
      <c r="D101" s="386" t="s">
        <v>2256</v>
      </c>
      <c r="E101" s="387">
        <v>7447</v>
      </c>
      <c r="F101" s="387">
        <v>2184</v>
      </c>
      <c r="G101" s="390">
        <v>-12533.81</v>
      </c>
    </row>
    <row r="102" spans="1:8" hidden="1">
      <c r="A102" s="386" t="s">
        <v>2227</v>
      </c>
      <c r="B102" s="386" t="s">
        <v>2269</v>
      </c>
      <c r="C102" s="386" t="s">
        <v>2181</v>
      </c>
      <c r="D102" s="386" t="s">
        <v>2256</v>
      </c>
      <c r="E102" s="387">
        <v>7447</v>
      </c>
      <c r="F102" s="387">
        <v>2184</v>
      </c>
      <c r="G102" s="390">
        <v>-199983.34400000001</v>
      </c>
    </row>
    <row r="103" spans="1:8">
      <c r="A103" s="386" t="s">
        <v>2227</v>
      </c>
      <c r="B103" s="386" t="s">
        <v>2269</v>
      </c>
      <c r="C103" s="386" t="s">
        <v>2181</v>
      </c>
      <c r="D103" s="386" t="s">
        <v>2265</v>
      </c>
      <c r="E103" s="387">
        <v>7447</v>
      </c>
      <c r="F103" s="387">
        <v>2184</v>
      </c>
      <c r="G103" s="390">
        <v>-657500</v>
      </c>
      <c r="H103" s="2">
        <v>1</v>
      </c>
    </row>
    <row r="104" spans="1:8" hidden="1">
      <c r="A104" s="384" t="s">
        <v>2270</v>
      </c>
      <c r="B104" s="384"/>
      <c r="C104" s="384"/>
      <c r="D104" s="384"/>
      <c r="E104" s="392">
        <v>0</v>
      </c>
      <c r="F104" s="393">
        <v>-364416305.41000003</v>
      </c>
      <c r="G104" s="393"/>
    </row>
  </sheetData>
  <autoFilter ref="A30:H104">
    <filterColumn colId="7">
      <customFilters>
        <customFilter operator="notEqual" val=" "/>
      </customFilters>
    </filterColumn>
  </autoFilter>
  <mergeCells count="13">
    <mergeCell ref="F12:G12"/>
    <mergeCell ref="B1:B2"/>
    <mergeCell ref="C1:C2"/>
    <mergeCell ref="D1:D2"/>
    <mergeCell ref="B12:C12"/>
    <mergeCell ref="D12:E12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zoomScale="80" zoomScaleNormal="80" workbookViewId="0">
      <selection activeCell="I21" sqref="I21:I23"/>
    </sheetView>
  </sheetViews>
  <sheetFormatPr defaultRowHeight="15"/>
  <cols>
    <col min="1" max="1" width="20.85546875" customWidth="1"/>
    <col min="2" max="3" width="14.42578125" customWidth="1"/>
    <col min="4" max="4" width="11.42578125" customWidth="1"/>
    <col min="6" max="6" width="16.5703125" customWidth="1"/>
    <col min="7" max="9" width="12.85546875" customWidth="1"/>
    <col min="11" max="11" width="13.42578125" customWidth="1"/>
    <col min="12" max="12" width="13.140625" customWidth="1"/>
    <col min="15" max="15" width="13.140625" customWidth="1"/>
    <col min="16" max="16" width="16.42578125" customWidth="1"/>
    <col min="19" max="19" width="11.7109375" customWidth="1"/>
    <col min="20" max="20" width="10.85546875" customWidth="1"/>
  </cols>
  <sheetData>
    <row r="2" spans="1:9">
      <c r="A2" s="210" t="s">
        <v>394</v>
      </c>
    </row>
    <row r="3" spans="1:9">
      <c r="B3" s="4">
        <v>43100</v>
      </c>
      <c r="C3" s="4">
        <v>43465</v>
      </c>
      <c r="D3" s="4"/>
      <c r="H3" s="4"/>
      <c r="I3" s="4"/>
    </row>
    <row r="4" spans="1:9">
      <c r="A4" s="14" t="s">
        <v>86</v>
      </c>
      <c r="B4" s="5">
        <v>2122780.2115000002</v>
      </c>
      <c r="C4" s="5">
        <v>3138088.9952600002</v>
      </c>
      <c r="D4" s="2" t="s">
        <v>2019</v>
      </c>
      <c r="H4" s="5"/>
    </row>
    <row r="5" spans="1:9">
      <c r="A5" s="14" t="s">
        <v>87</v>
      </c>
      <c r="B5" s="5">
        <v>146379.02133000002</v>
      </c>
      <c r="C5" s="5">
        <v>130514.17475000001</v>
      </c>
      <c r="D5" s="2" t="s">
        <v>2019</v>
      </c>
      <c r="H5" s="5"/>
    </row>
    <row r="6" spans="1:9">
      <c r="A6" s="14" t="s">
        <v>88</v>
      </c>
      <c r="B6" s="5">
        <v>9144.9280099999996</v>
      </c>
      <c r="C6" s="5">
        <v>12356.21847</v>
      </c>
      <c r="D6" s="2" t="s">
        <v>2019</v>
      </c>
      <c r="H6" s="5"/>
    </row>
    <row r="7" spans="1:9">
      <c r="A7" s="14" t="s">
        <v>90</v>
      </c>
      <c r="B7" s="5">
        <v>59.821429999999999</v>
      </c>
      <c r="C7" s="5">
        <v>8367.5000099999997</v>
      </c>
      <c r="D7" s="2" t="s">
        <v>2019</v>
      </c>
      <c r="H7" s="5"/>
      <c r="I7" s="5"/>
    </row>
    <row r="8" spans="1:9">
      <c r="A8" s="14" t="s">
        <v>91</v>
      </c>
      <c r="B8" s="5">
        <v>1092665.0856600001</v>
      </c>
      <c r="C8" s="5">
        <v>1086143.9147000001</v>
      </c>
      <c r="D8" s="2" t="s">
        <v>2019</v>
      </c>
      <c r="H8" s="5"/>
      <c r="I8" s="5"/>
    </row>
    <row r="9" spans="1:9">
      <c r="A9" s="14" t="s">
        <v>93</v>
      </c>
      <c r="B9" s="5">
        <v>155.40741</v>
      </c>
      <c r="C9" s="5">
        <v>1675.1750400000001</v>
      </c>
      <c r="D9" s="2" t="s">
        <v>2019</v>
      </c>
      <c r="H9" s="5"/>
      <c r="I9" s="5"/>
    </row>
    <row r="10" spans="1:9">
      <c r="A10" s="14" t="s">
        <v>94</v>
      </c>
      <c r="B10" s="5">
        <v>334471.49333999999</v>
      </c>
      <c r="C10" s="5">
        <v>301548.67394000001</v>
      </c>
      <c r="D10" s="2" t="s">
        <v>2019</v>
      </c>
      <c r="H10" s="5"/>
      <c r="I10" s="5"/>
    </row>
    <row r="11" spans="1:9">
      <c r="A11" s="212" t="s">
        <v>96</v>
      </c>
      <c r="B11" s="5">
        <v>2861797.3552700002</v>
      </c>
      <c r="C11" s="5">
        <v>4438468.3972500004</v>
      </c>
      <c r="D11" s="2" t="s">
        <v>2018</v>
      </c>
      <c r="H11" s="5"/>
      <c r="I11" s="5"/>
    </row>
    <row r="12" spans="1:9">
      <c r="A12" s="14" t="s">
        <v>97</v>
      </c>
      <c r="B12" s="5">
        <v>0</v>
      </c>
      <c r="C12" s="5">
        <v>0</v>
      </c>
      <c r="D12" s="5"/>
      <c r="H12" s="191"/>
      <c r="I12" s="191"/>
    </row>
    <row r="13" spans="1:9">
      <c r="A13" s="14" t="s">
        <v>98</v>
      </c>
      <c r="B13" s="5">
        <v>84064.254650000003</v>
      </c>
      <c r="C13" s="5">
        <v>85417.667400000006</v>
      </c>
      <c r="D13" s="2" t="s">
        <v>2019</v>
      </c>
      <c r="F13" s="5"/>
    </row>
    <row r="14" spans="1:9">
      <c r="A14" s="14" t="s">
        <v>99</v>
      </c>
      <c r="B14" s="5">
        <v>2102554.5513500003</v>
      </c>
      <c r="C14" s="5">
        <v>4401712.1495600007</v>
      </c>
      <c r="D14" s="2" t="s">
        <v>2020</v>
      </c>
      <c r="F14" s="5"/>
    </row>
    <row r="15" spans="1:9">
      <c r="A15" s="14" t="s">
        <v>100</v>
      </c>
      <c r="B15" s="5">
        <v>1816.8271100000002</v>
      </c>
      <c r="C15" s="5">
        <v>502.52530000000002</v>
      </c>
      <c r="D15" s="2" t="s">
        <v>2020</v>
      </c>
    </row>
    <row r="16" spans="1:9">
      <c r="A16" s="14" t="s">
        <v>102</v>
      </c>
      <c r="B16" s="5">
        <v>1594901.1998000001</v>
      </c>
      <c r="C16" s="5">
        <v>1988418.9678199999</v>
      </c>
      <c r="D16" s="2" t="s">
        <v>2018</v>
      </c>
    </row>
    <row r="17" spans="1:9">
      <c r="A17" s="14" t="s">
        <v>103</v>
      </c>
      <c r="B17" s="5">
        <v>7586.4693299999999</v>
      </c>
      <c r="C17" s="5">
        <v>7191.6443399999998</v>
      </c>
      <c r="D17" s="2" t="s">
        <v>2018</v>
      </c>
    </row>
    <row r="18" spans="1:9">
      <c r="A18" s="14" t="s">
        <v>105</v>
      </c>
      <c r="B18" s="5">
        <v>60315.425940000001</v>
      </c>
      <c r="C18" s="5">
        <v>107104.08614</v>
      </c>
      <c r="D18" s="2" t="s">
        <v>2018</v>
      </c>
    </row>
    <row r="19" spans="1:9">
      <c r="A19" s="14" t="s">
        <v>106</v>
      </c>
      <c r="B19" s="5">
        <v>0</v>
      </c>
      <c r="C19" s="5">
        <v>0</v>
      </c>
      <c r="D19" s="5"/>
    </row>
    <row r="20" spans="1:9">
      <c r="A20" s="14" t="s">
        <v>107</v>
      </c>
      <c r="B20" s="5">
        <v>242156.66997999998</v>
      </c>
      <c r="C20" s="5">
        <v>42974.908990000004</v>
      </c>
      <c r="D20" s="2" t="s">
        <v>2019</v>
      </c>
    </row>
    <row r="21" spans="1:9">
      <c r="A21" s="14" t="s">
        <v>109</v>
      </c>
      <c r="B21" s="5">
        <v>41697.23704</v>
      </c>
      <c r="C21" s="5">
        <v>36298.009210000004</v>
      </c>
      <c r="D21" s="2" t="s">
        <v>2019</v>
      </c>
      <c r="F21" s="2" t="s">
        <v>2018</v>
      </c>
      <c r="G21" s="5">
        <v>4545007</v>
      </c>
      <c r="H21" s="5">
        <f>SUMIF($D:$D,F21,$B:$B)</f>
        <v>4714752.8125099996</v>
      </c>
      <c r="I21" s="5">
        <f>G21-H21</f>
        <v>-169745.81250999961</v>
      </c>
    </row>
    <row r="22" spans="1:9">
      <c r="A22" s="14" t="s">
        <v>111</v>
      </c>
      <c r="B22" s="5">
        <v>2730.9957799999997</v>
      </c>
      <c r="C22" s="5">
        <v>3070.53458</v>
      </c>
      <c r="D22" s="2" t="s">
        <v>2019</v>
      </c>
      <c r="F22" s="2" t="s">
        <v>2019</v>
      </c>
      <c r="G22" s="5">
        <v>4228095</v>
      </c>
      <c r="H22" s="5">
        <f t="shared" ref="H22:H23" si="0">SUMIF($D:$D,F22,$B:$B)</f>
        <v>4146230.9254300003</v>
      </c>
      <c r="I22" s="5">
        <f t="shared" ref="I22:I23" si="1">G22-H22</f>
        <v>81864.074569999706</v>
      </c>
    </row>
    <row r="23" spans="1:9">
      <c r="A23" s="14" t="s">
        <v>112</v>
      </c>
      <c r="B23" s="5">
        <v>7219.6329100000003</v>
      </c>
      <c r="C23" s="5">
        <v>12118.772429999999</v>
      </c>
      <c r="D23" s="2" t="s">
        <v>2019</v>
      </c>
      <c r="F23" s="2" t="s">
        <v>2020</v>
      </c>
      <c r="G23" s="5">
        <v>2639209</v>
      </c>
      <c r="H23" s="5">
        <f t="shared" si="0"/>
        <v>2571050.5969600007</v>
      </c>
      <c r="I23" s="5">
        <f t="shared" si="1"/>
        <v>68158.403039999306</v>
      </c>
    </row>
    <row r="24" spans="1:9">
      <c r="A24" s="14" t="s">
        <v>113</v>
      </c>
      <c r="B24" s="5">
        <v>-1802.5736899999999</v>
      </c>
      <c r="C24" s="5">
        <v>24693.238239999999</v>
      </c>
      <c r="D24" s="2" t="s">
        <v>2019</v>
      </c>
      <c r="G24" s="5">
        <f>SUM(G21:G23)</f>
        <v>11412311</v>
      </c>
      <c r="H24" s="5">
        <f>SUM(H21:H23)</f>
        <v>11432034.334900001</v>
      </c>
    </row>
    <row r="25" spans="1:9">
      <c r="A25" s="14" t="s">
        <v>115</v>
      </c>
      <c r="B25" s="5">
        <v>-1290571.0846199999</v>
      </c>
      <c r="C25" s="5">
        <v>-1217617.2955100003</v>
      </c>
      <c r="D25" s="2" t="s">
        <v>2019</v>
      </c>
    </row>
    <row r="26" spans="1:9">
      <c r="A26" s="14" t="s">
        <v>116</v>
      </c>
      <c r="B26" s="5">
        <v>-39850.861939999995</v>
      </c>
      <c r="C26" s="5">
        <v>-39847.895600000003</v>
      </c>
      <c r="D26" s="2" t="s">
        <v>2020</v>
      </c>
    </row>
    <row r="27" spans="1:9" ht="15.75" thickBot="1">
      <c r="B27" s="180">
        <f>SUM(B4:B26)</f>
        <v>9380272.0675899982</v>
      </c>
      <c r="C27" s="180">
        <f>SUM(C4:C26)</f>
        <v>14569200.36232</v>
      </c>
    </row>
    <row r="28" spans="1:9" ht="15.75" thickTop="1"/>
    <row r="29" spans="1:9">
      <c r="B29" s="60" t="s">
        <v>395</v>
      </c>
    </row>
    <row r="30" spans="1:9">
      <c r="B30" s="4">
        <v>43100</v>
      </c>
      <c r="C30" s="4">
        <v>43465</v>
      </c>
    </row>
    <row r="31" spans="1:9">
      <c r="A31" s="51" t="s">
        <v>85</v>
      </c>
      <c r="B31" s="5">
        <v>1317731.1245900001</v>
      </c>
      <c r="C31" s="5">
        <v>3927187.1503300001</v>
      </c>
      <c r="D31" s="2" t="s">
        <v>2019</v>
      </c>
    </row>
    <row r="32" spans="1:9">
      <c r="A32" s="51" t="s">
        <v>407</v>
      </c>
      <c r="B32" s="5">
        <v>6648.1561400000001</v>
      </c>
      <c r="C32" s="5">
        <v>153893.53925</v>
      </c>
      <c r="D32" s="2" t="s">
        <v>2019</v>
      </c>
    </row>
    <row r="33" spans="1:4">
      <c r="A33" s="51" t="s">
        <v>99</v>
      </c>
      <c r="B33" s="5">
        <v>505312.81358999998</v>
      </c>
      <c r="C33" s="5">
        <v>1736825.1315200001</v>
      </c>
      <c r="D33" s="2" t="s">
        <v>2020</v>
      </c>
    </row>
    <row r="34" spans="1:4">
      <c r="A34" s="51" t="s">
        <v>408</v>
      </c>
      <c r="B34" s="5">
        <v>2925713.9283199999</v>
      </c>
      <c r="C34" s="5">
        <v>470822.97674999997</v>
      </c>
    </row>
    <row r="35" spans="1:4">
      <c r="A35" s="51" t="s">
        <v>102</v>
      </c>
      <c r="B35" s="5">
        <v>173992.79816000001</v>
      </c>
      <c r="C35" s="5">
        <v>266815.38936999999</v>
      </c>
      <c r="D35" s="2" t="s">
        <v>2018</v>
      </c>
    </row>
    <row r="36" spans="1:4">
      <c r="A36" s="51" t="s">
        <v>103</v>
      </c>
      <c r="B36" s="5">
        <v>16159.56401</v>
      </c>
      <c r="C36" s="5">
        <v>18728.27896</v>
      </c>
      <c r="D36" s="2" t="s">
        <v>2018</v>
      </c>
    </row>
    <row r="37" spans="1:4">
      <c r="A37" s="51" t="s">
        <v>409</v>
      </c>
      <c r="B37" s="5">
        <v>29382.406920000001</v>
      </c>
      <c r="C37" s="5">
        <v>42226.940920000001</v>
      </c>
      <c r="D37" s="2" t="s">
        <v>2019</v>
      </c>
    </row>
    <row r="38" spans="1:4">
      <c r="A38" s="51" t="s">
        <v>410</v>
      </c>
      <c r="B38" s="5">
        <v>0</v>
      </c>
      <c r="C38" s="5">
        <v>45398.45768</v>
      </c>
      <c r="D38" s="2" t="s">
        <v>2019</v>
      </c>
    </row>
    <row r="39" spans="1:4" ht="15.75" thickBot="1">
      <c r="B39" s="180">
        <f>SUM(B31:B38)</f>
        <v>4974940.7917299997</v>
      </c>
      <c r="C39" s="180">
        <f>SUM(C31:C38)</f>
        <v>6661897.8647800004</v>
      </c>
    </row>
    <row r="40" spans="1:4" ht="15.75" thickTop="1"/>
    <row r="41" spans="1:4">
      <c r="B41" s="60" t="s">
        <v>445</v>
      </c>
    </row>
    <row r="42" spans="1:4">
      <c r="B42" s="4">
        <v>43100</v>
      </c>
      <c r="C42" s="4">
        <v>43465</v>
      </c>
    </row>
    <row r="43" spans="1:4">
      <c r="A43" t="s">
        <v>2021</v>
      </c>
      <c r="B43" s="5">
        <v>1318.13705</v>
      </c>
      <c r="C43" s="5">
        <v>1115.8870300000001</v>
      </c>
      <c r="D43" s="2" t="s">
        <v>2019</v>
      </c>
    </row>
    <row r="44" spans="1:4">
      <c r="A44" t="s">
        <v>2022</v>
      </c>
      <c r="B44" s="5">
        <v>0</v>
      </c>
      <c r="C44" s="5">
        <v>0</v>
      </c>
      <c r="D44" s="2" t="s">
        <v>2020</v>
      </c>
    </row>
    <row r="45" spans="1:4">
      <c r="A45" t="s">
        <v>2023</v>
      </c>
      <c r="B45" s="5">
        <v>1205.40717</v>
      </c>
      <c r="C45" s="5">
        <v>1415.31657</v>
      </c>
      <c r="D45" s="2" t="s">
        <v>2020</v>
      </c>
    </row>
    <row r="46" spans="1:4" ht="15.75" thickBot="1">
      <c r="B46" s="180">
        <f>SUM(B43:B45)</f>
        <v>2523.5442199999998</v>
      </c>
      <c r="C46" s="180">
        <f>SUM(C43:C45)</f>
        <v>2531.2035999999998</v>
      </c>
    </row>
    <row r="47" spans="1:4" ht="15.75" thickTop="1"/>
    <row r="48" spans="1:4">
      <c r="A48" s="67" t="s">
        <v>456</v>
      </c>
    </row>
    <row r="49" spans="1:4">
      <c r="B49" s="4">
        <v>43100</v>
      </c>
      <c r="C49" s="4">
        <v>43465</v>
      </c>
    </row>
    <row r="50" spans="1:4">
      <c r="A50" s="90" t="s">
        <v>85</v>
      </c>
      <c r="B50" s="5">
        <v>0</v>
      </c>
      <c r="C50" s="5">
        <v>175736.84512000001</v>
      </c>
      <c r="D50" s="2" t="s">
        <v>2019</v>
      </c>
    </row>
    <row r="51" spans="1:4">
      <c r="A51" s="90" t="s">
        <v>100</v>
      </c>
      <c r="B51" s="5">
        <v>0</v>
      </c>
      <c r="C51" s="5">
        <v>711.23428000000001</v>
      </c>
      <c r="D51" s="2" t="s">
        <v>2020</v>
      </c>
    </row>
    <row r="52" spans="1:4">
      <c r="A52" s="90" t="s">
        <v>102</v>
      </c>
      <c r="B52" s="5">
        <v>0</v>
      </c>
      <c r="C52" s="5">
        <v>0</v>
      </c>
      <c r="D52" s="2" t="s">
        <v>2018</v>
      </c>
    </row>
    <row r="53" spans="1:4" ht="15.75" thickBot="1">
      <c r="B53" s="180">
        <f>SUM(B50:B52)</f>
        <v>0</v>
      </c>
      <c r="C53" s="180">
        <f>SUM(C50:C52)</f>
        <v>176448.07940000002</v>
      </c>
    </row>
    <row r="54" spans="1:4" ht="15.75" thickTop="1"/>
    <row r="55" spans="1:4">
      <c r="A55" s="67" t="s">
        <v>457</v>
      </c>
    </row>
    <row r="56" spans="1:4">
      <c r="B56" s="4">
        <v>43100</v>
      </c>
      <c r="C56" s="4">
        <v>43465</v>
      </c>
    </row>
    <row r="57" spans="1:4">
      <c r="A57" s="211" t="s">
        <v>490</v>
      </c>
      <c r="B57" s="5">
        <v>11.859680000000001</v>
      </c>
      <c r="C57" s="5">
        <v>11.859680000000001</v>
      </c>
      <c r="D57" s="2" t="s">
        <v>2020</v>
      </c>
    </row>
    <row r="61" spans="1:4">
      <c r="B61" s="5">
        <f>B57+B53+B46+B39-B34+B27</f>
        <v>11432034.334899999</v>
      </c>
      <c r="D61" s="5">
        <f>B61-G24</f>
        <v>19723.334899999201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S44"/>
  <sheetViews>
    <sheetView topLeftCell="A22" zoomScale="70" zoomScaleNormal="70" workbookViewId="0">
      <selection activeCell="C368" sqref="C368"/>
    </sheetView>
  </sheetViews>
  <sheetFormatPr defaultRowHeight="15"/>
  <cols>
    <col min="1" max="1" width="39" customWidth="1"/>
    <col min="3" max="3" width="17" customWidth="1"/>
    <col min="5" max="5" width="20.42578125" customWidth="1"/>
    <col min="6" max="6" width="4.42578125" customWidth="1"/>
    <col min="7" max="7" width="12.85546875" customWidth="1"/>
    <col min="8" max="8" width="3.7109375" customWidth="1"/>
    <col min="9" max="9" width="14.42578125" customWidth="1"/>
    <col min="10" max="11" width="12.42578125" bestFit="1" customWidth="1"/>
    <col min="12" max="12" width="10.85546875" bestFit="1" customWidth="1"/>
    <col min="13" max="13" width="11.42578125" bestFit="1" customWidth="1"/>
    <col min="15" max="15" width="9" bestFit="1" customWidth="1"/>
    <col min="16" max="16" width="11.42578125" customWidth="1"/>
    <col min="17" max="17" width="12.42578125" bestFit="1" customWidth="1"/>
    <col min="18" max="18" width="13.140625" customWidth="1"/>
  </cols>
  <sheetData>
    <row r="2" spans="1:18">
      <c r="A2" s="124" t="s">
        <v>2276</v>
      </c>
    </row>
    <row r="3" spans="1:18" ht="15.75" thickBot="1">
      <c r="E3" s="417"/>
    </row>
    <row r="4" spans="1:18" s="226" customFormat="1" ht="75.75" thickBot="1">
      <c r="A4" s="266" t="s">
        <v>2112</v>
      </c>
      <c r="C4" s="417" t="s">
        <v>2279</v>
      </c>
      <c r="E4" s="417" t="s">
        <v>2280</v>
      </c>
      <c r="G4" s="417" t="s">
        <v>2281</v>
      </c>
      <c r="I4" s="417" t="s">
        <v>338</v>
      </c>
      <c r="K4" s="418" t="s">
        <v>43</v>
      </c>
    </row>
    <row r="5" spans="1:18" ht="60">
      <c r="A5" s="226" t="s">
        <v>2277</v>
      </c>
      <c r="C5" s="5"/>
      <c r="D5" s="5"/>
      <c r="E5" s="5"/>
      <c r="F5" s="5"/>
      <c r="G5" s="5">
        <v>1084049</v>
      </c>
      <c r="H5" s="5"/>
      <c r="I5" s="5">
        <f>SUM(C5:G5)</f>
        <v>1084049</v>
      </c>
    </row>
    <row r="6" spans="1:18">
      <c r="A6" t="s">
        <v>22</v>
      </c>
      <c r="C6" s="5"/>
      <c r="D6" s="5"/>
      <c r="E6" s="5"/>
      <c r="F6" s="5"/>
      <c r="G6" s="5">
        <v>182364</v>
      </c>
      <c r="H6" s="5"/>
      <c r="I6" s="5">
        <f t="shared" ref="I6:I10" si="0">SUM(C6:G6)</f>
        <v>182364</v>
      </c>
      <c r="K6" s="293">
        <f>'8'!I6-I6</f>
        <v>-679</v>
      </c>
    </row>
    <row r="7" spans="1:18">
      <c r="A7" t="s">
        <v>12</v>
      </c>
      <c r="C7" s="5"/>
      <c r="D7" s="5"/>
      <c r="E7" s="5"/>
      <c r="F7" s="5"/>
      <c r="G7" s="5">
        <v>130683</v>
      </c>
      <c r="H7" s="5"/>
      <c r="I7" s="5">
        <f t="shared" si="0"/>
        <v>130683</v>
      </c>
    </row>
    <row r="8" spans="1:18">
      <c r="A8" t="s">
        <v>38</v>
      </c>
      <c r="C8" s="5"/>
      <c r="D8" s="5"/>
      <c r="E8" s="5">
        <v>-283940</v>
      </c>
      <c r="F8" s="5"/>
      <c r="G8" s="5">
        <v>-485284</v>
      </c>
      <c r="H8" s="5"/>
      <c r="I8" s="5">
        <f t="shared" si="0"/>
        <v>-769224</v>
      </c>
    </row>
    <row r="9" spans="1:18">
      <c r="A9" t="s">
        <v>2093</v>
      </c>
      <c r="C9" s="5"/>
      <c r="D9" s="5"/>
      <c r="E9" s="5"/>
      <c r="F9" s="5"/>
      <c r="G9" s="5">
        <v>-10764644</v>
      </c>
      <c r="H9" s="5"/>
      <c r="I9" s="5">
        <f t="shared" si="0"/>
        <v>-10764644</v>
      </c>
    </row>
    <row r="10" spans="1:18">
      <c r="A10" t="s">
        <v>2278</v>
      </c>
      <c r="C10" s="5">
        <v>-57300395</v>
      </c>
      <c r="D10" s="5"/>
      <c r="E10" s="5"/>
      <c r="F10" s="5"/>
      <c r="G10" s="5"/>
      <c r="H10" s="5"/>
      <c r="I10" s="5">
        <f t="shared" si="0"/>
        <v>-57300395</v>
      </c>
      <c r="K10" s="293">
        <f>'17'!H8+'17'!H9+I10</f>
        <v>-49173650</v>
      </c>
    </row>
    <row r="11" spans="1:18" ht="15.75" thickBot="1">
      <c r="C11" s="179"/>
      <c r="D11" s="5"/>
      <c r="E11" s="179"/>
      <c r="F11" s="5"/>
      <c r="G11" s="179"/>
      <c r="H11" s="5"/>
      <c r="I11" s="179"/>
    </row>
    <row r="12" spans="1:18" ht="15.75" thickTop="1"/>
    <row r="14" spans="1:18" ht="45.75" thickBot="1">
      <c r="A14" s="266" t="s">
        <v>2282</v>
      </c>
      <c r="B14" s="226"/>
      <c r="C14" s="417" t="s">
        <v>2940</v>
      </c>
      <c r="D14" s="226"/>
      <c r="E14" s="417" t="s">
        <v>2941</v>
      </c>
      <c r="F14" s="226"/>
      <c r="G14" s="417" t="s">
        <v>2281</v>
      </c>
      <c r="H14" s="226"/>
      <c r="I14" s="417" t="s">
        <v>338</v>
      </c>
      <c r="J14" s="226"/>
      <c r="K14" s="730"/>
      <c r="L14" s="153"/>
      <c r="M14" s="153"/>
      <c r="N14" s="153"/>
      <c r="O14" s="153"/>
      <c r="P14" s="153"/>
      <c r="Q14" s="153"/>
      <c r="R14" s="153"/>
    </row>
    <row r="15" spans="1:18" ht="60">
      <c r="A15" s="667" t="s">
        <v>2979</v>
      </c>
      <c r="C15" s="5">
        <v>0</v>
      </c>
      <c r="D15" s="5"/>
      <c r="E15" s="5">
        <v>763223</v>
      </c>
      <c r="F15" s="5"/>
      <c r="G15" s="126">
        <v>26464</v>
      </c>
      <c r="H15" s="5"/>
      <c r="I15" s="5">
        <f>SUM(C15:G15)</f>
        <v>789687</v>
      </c>
      <c r="J15" s="5"/>
      <c r="K15" s="720"/>
      <c r="L15" s="720"/>
      <c r="M15" s="720"/>
      <c r="N15" s="153"/>
      <c r="O15" s="442"/>
      <c r="P15" s="442"/>
      <c r="Q15" s="442"/>
      <c r="R15" s="442"/>
    </row>
    <row r="16" spans="1:18">
      <c r="A16" s="26" t="s">
        <v>22</v>
      </c>
      <c r="C16" s="5">
        <v>0</v>
      </c>
      <c r="D16" s="5"/>
      <c r="E16" s="5">
        <v>0</v>
      </c>
      <c r="F16" s="5"/>
      <c r="G16" s="5">
        <f>'8'!G6</f>
        <v>57023</v>
      </c>
      <c r="H16" s="5"/>
      <c r="I16" s="5">
        <f>SUM(C16:G16)</f>
        <v>57023</v>
      </c>
      <c r="J16" s="293">
        <f>'8'!G6-I16</f>
        <v>0</v>
      </c>
      <c r="K16" s="720"/>
      <c r="L16" s="720"/>
      <c r="M16" s="720"/>
      <c r="N16" s="153"/>
      <c r="O16" s="442"/>
      <c r="P16" s="442"/>
      <c r="Q16" s="442"/>
      <c r="R16" s="442"/>
    </row>
    <row r="17" spans="1:18">
      <c r="A17" s="26" t="s">
        <v>2957</v>
      </c>
      <c r="C17" s="5">
        <v>0</v>
      </c>
      <c r="D17" s="5"/>
      <c r="E17" s="5">
        <v>0</v>
      </c>
      <c r="F17" s="5"/>
      <c r="G17" s="5">
        <v>1202829</v>
      </c>
      <c r="H17" s="5"/>
      <c r="I17" s="5">
        <f t="shared" ref="I17" si="1">SUM(C17:G17)</f>
        <v>1202829</v>
      </c>
      <c r="J17" s="5"/>
      <c r="K17" s="720"/>
      <c r="L17" s="720"/>
      <c r="M17" s="720"/>
      <c r="N17" s="153"/>
      <c r="O17" s="442"/>
      <c r="P17" s="442"/>
      <c r="Q17" s="442"/>
      <c r="R17" s="442"/>
    </row>
    <row r="18" spans="1:18">
      <c r="A18" s="26" t="s">
        <v>38</v>
      </c>
      <c r="C18" s="5">
        <v>0</v>
      </c>
      <c r="D18" s="5"/>
      <c r="E18" s="5">
        <v>-167086</v>
      </c>
      <c r="G18" s="5">
        <v>-3322495</v>
      </c>
      <c r="H18" s="5"/>
      <c r="I18" s="5">
        <f>SUM(C18:G18)</f>
        <v>-3489581</v>
      </c>
      <c r="J18" s="293">
        <f>I18+'18'!E15</f>
        <v>-42391</v>
      </c>
      <c r="K18" s="720"/>
      <c r="L18" s="720"/>
      <c r="M18" s="720"/>
      <c r="N18" s="153"/>
      <c r="O18" s="442"/>
      <c r="P18" s="442"/>
      <c r="Q18" s="442"/>
      <c r="R18" s="442"/>
    </row>
    <row r="19" spans="1:18">
      <c r="A19" s="26" t="s">
        <v>2093</v>
      </c>
      <c r="C19" s="5">
        <v>0</v>
      </c>
      <c r="D19" s="5"/>
      <c r="E19" s="5">
        <v>-12176295</v>
      </c>
      <c r="F19" s="5"/>
      <c r="G19" s="5">
        <v>0</v>
      </c>
      <c r="H19" s="5"/>
      <c r="I19" s="5">
        <f>SUM(C19:G19)</f>
        <v>-12176295</v>
      </c>
      <c r="J19" s="5"/>
      <c r="K19" s="720"/>
      <c r="L19" s="720"/>
      <c r="M19" s="720"/>
      <c r="N19" s="153"/>
      <c r="O19" s="442"/>
      <c r="P19" s="442"/>
      <c r="Q19" s="442"/>
      <c r="R19" s="442"/>
    </row>
    <row r="20" spans="1:18" s="26" customFormat="1">
      <c r="A20" s="26" t="s">
        <v>2972</v>
      </c>
      <c r="C20" s="126">
        <f>-('17'!G8+'17'!G9)</f>
        <v>-8845395</v>
      </c>
      <c r="G20" s="126">
        <v>0</v>
      </c>
      <c r="I20" s="126">
        <f>SUM(C20:G20)</f>
        <v>-8845395</v>
      </c>
      <c r="J20" s="126"/>
      <c r="K20" s="720"/>
      <c r="L20" s="720"/>
      <c r="M20" s="720"/>
      <c r="N20" s="154"/>
      <c r="O20" s="442"/>
      <c r="P20" s="442"/>
      <c r="Q20" s="442"/>
      <c r="R20" s="442"/>
    </row>
    <row r="21" spans="1:18" s="124" customFormat="1" ht="15.75" thickBot="1">
      <c r="C21" s="180">
        <f>SUM(C15:C20)</f>
        <v>-8845395</v>
      </c>
      <c r="E21" s="180">
        <f>SUM(E15:E20)</f>
        <v>-11580158</v>
      </c>
      <c r="G21" s="180">
        <f>SUM(G15:G20)</f>
        <v>-2036179</v>
      </c>
      <c r="I21" s="180">
        <f>SUM(I15:I20)</f>
        <v>-22461732</v>
      </c>
      <c r="K21" s="665"/>
      <c r="L21" s="665"/>
      <c r="M21" s="665"/>
      <c r="N21" s="665"/>
      <c r="O21" s="665"/>
      <c r="P21" s="665"/>
      <c r="Q21" s="665"/>
      <c r="R21" s="665"/>
    </row>
    <row r="22" spans="1:18" ht="15.75" thickTop="1">
      <c r="K22" s="153"/>
      <c r="L22" s="153"/>
      <c r="M22" s="153"/>
      <c r="N22" s="153"/>
      <c r="O22" s="153"/>
      <c r="P22" s="153"/>
      <c r="Q22" s="153"/>
      <c r="R22" s="153"/>
    </row>
    <row r="23" spans="1:18">
      <c r="K23" s="153"/>
      <c r="L23" s="153"/>
      <c r="M23" s="153"/>
      <c r="N23" s="153"/>
      <c r="O23" s="153"/>
      <c r="P23" s="153"/>
      <c r="Q23" s="153"/>
      <c r="R23" s="153"/>
    </row>
    <row r="25" spans="1:18" ht="75.75" thickBot="1">
      <c r="C25" s="417" t="s">
        <v>2279</v>
      </c>
      <c r="D25" s="226"/>
      <c r="E25" s="417" t="s">
        <v>2280</v>
      </c>
      <c r="F25" s="226"/>
      <c r="G25" s="417" t="s">
        <v>2281</v>
      </c>
      <c r="H25" s="226"/>
      <c r="I25" s="417" t="s">
        <v>338</v>
      </c>
    </row>
    <row r="26" spans="1:18">
      <c r="A26" s="517" t="s">
        <v>2078</v>
      </c>
    </row>
    <row r="27" spans="1:18">
      <c r="A27" s="516" t="s">
        <v>347</v>
      </c>
      <c r="C27" s="5"/>
      <c r="D27" s="5"/>
      <c r="E27" s="5"/>
      <c r="F27" s="5"/>
      <c r="G27" s="126">
        <v>17618920</v>
      </c>
      <c r="H27" s="5"/>
      <c r="I27" s="5">
        <f>SUM(C27:G27)</f>
        <v>17618920</v>
      </c>
    </row>
    <row r="28" spans="1:18">
      <c r="A28" s="516" t="s">
        <v>2501</v>
      </c>
      <c r="C28" s="5"/>
      <c r="D28" s="5"/>
      <c r="E28" s="5">
        <v>-217136</v>
      </c>
      <c r="F28" s="5"/>
      <c r="G28" s="5">
        <v>-1438335</v>
      </c>
      <c r="H28" s="5"/>
      <c r="I28" s="5">
        <f>SUM(C28:G28)</f>
        <v>-1655471</v>
      </c>
    </row>
    <row r="29" spans="1:18">
      <c r="A29" s="516" t="s">
        <v>357</v>
      </c>
      <c r="C29" s="5"/>
      <c r="D29" s="5"/>
      <c r="E29" s="5">
        <v>7994</v>
      </c>
      <c r="F29" s="5"/>
      <c r="G29" s="5">
        <v>389</v>
      </c>
      <c r="H29" s="5"/>
      <c r="I29" s="5">
        <f>SUM(C29:G29)</f>
        <v>8383</v>
      </c>
    </row>
    <row r="30" spans="1:18" ht="15.75" thickBot="1">
      <c r="A30" s="516" t="s">
        <v>358</v>
      </c>
      <c r="C30" s="518">
        <v>-5829023</v>
      </c>
      <c r="D30" s="5"/>
      <c r="E30" s="518">
        <v>0</v>
      </c>
      <c r="F30" s="5"/>
      <c r="G30" s="518">
        <v>0</v>
      </c>
      <c r="H30" s="5"/>
      <c r="I30" s="518">
        <f>SUM(C30:G30)</f>
        <v>-5829023</v>
      </c>
    </row>
    <row r="31" spans="1:18">
      <c r="M31" s="699"/>
    </row>
    <row r="32" spans="1:18">
      <c r="M32" s="5"/>
    </row>
    <row r="33" spans="1:19" ht="45.75" thickBot="1">
      <c r="C33" s="417" t="s">
        <v>2942</v>
      </c>
      <c r="D33" s="226"/>
      <c r="E33" s="417" t="s">
        <v>2943</v>
      </c>
      <c r="F33" s="226"/>
      <c r="G33" s="417" t="s">
        <v>2281</v>
      </c>
      <c r="H33" s="226"/>
      <c r="I33" s="417" t="s">
        <v>338</v>
      </c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>
      <c r="A34" s="517" t="s">
        <v>2079</v>
      </c>
      <c r="E34" s="5"/>
      <c r="K34" s="153"/>
      <c r="L34" s="153"/>
      <c r="M34" s="153"/>
      <c r="N34" s="153"/>
      <c r="O34" s="153"/>
      <c r="P34" s="153"/>
      <c r="Q34" s="153"/>
      <c r="R34" s="153"/>
      <c r="S34" s="153"/>
    </row>
    <row r="35" spans="1:19">
      <c r="A35" s="516" t="s">
        <v>347</v>
      </c>
      <c r="C35" s="5">
        <v>0</v>
      </c>
      <c r="D35" s="5"/>
      <c r="E35" s="126">
        <v>17705840</v>
      </c>
      <c r="G35">
        <v>0</v>
      </c>
      <c r="H35" s="5"/>
      <c r="I35" s="5">
        <f>SUM(C35:F35)</f>
        <v>17705840</v>
      </c>
      <c r="K35" s="632"/>
      <c r="L35" s="632"/>
      <c r="M35" s="632"/>
      <c r="N35" s="628"/>
      <c r="O35" s="442"/>
      <c r="P35" s="442"/>
      <c r="Q35" s="442"/>
      <c r="R35" s="442"/>
      <c r="S35" s="153"/>
    </row>
    <row r="36" spans="1:19">
      <c r="A36" s="516" t="s">
        <v>572</v>
      </c>
      <c r="C36" s="5">
        <v>0</v>
      </c>
      <c r="D36" s="5"/>
      <c r="E36" s="5">
        <v>0</v>
      </c>
      <c r="F36" s="5"/>
      <c r="G36" s="5">
        <v>161738</v>
      </c>
      <c r="H36" s="5"/>
      <c r="I36" s="5">
        <f>SUM(C36:G36)</f>
        <v>161738</v>
      </c>
      <c r="K36" s="632"/>
      <c r="L36" s="632"/>
      <c r="M36" s="632"/>
      <c r="N36" s="628"/>
      <c r="O36" s="442"/>
      <c r="P36" s="442"/>
      <c r="Q36" s="442"/>
      <c r="R36" s="442"/>
      <c r="S36" s="153"/>
    </row>
    <row r="37" spans="1:19">
      <c r="A37" s="516" t="s">
        <v>2501</v>
      </c>
      <c r="C37" s="5">
        <v>0</v>
      </c>
      <c r="D37" s="5"/>
      <c r="E37" s="5">
        <v>-44806</v>
      </c>
      <c r="F37" s="5"/>
      <c r="G37" s="5">
        <v>-10675519</v>
      </c>
      <c r="H37" s="5"/>
      <c r="I37" s="5">
        <f>SUM(C37:G37)</f>
        <v>-10720325</v>
      </c>
      <c r="K37" s="632"/>
      <c r="L37" s="632"/>
      <c r="M37" s="632"/>
      <c r="N37" s="629"/>
      <c r="O37" s="442"/>
      <c r="P37" s="442"/>
      <c r="Q37" s="442"/>
      <c r="R37" s="442"/>
      <c r="S37" s="153"/>
    </row>
    <row r="38" spans="1:19" s="26" customFormat="1">
      <c r="A38" s="683" t="s">
        <v>357</v>
      </c>
      <c r="C38" s="126" t="e">
        <f>#REF!</f>
        <v>#REF!</v>
      </c>
      <c r="D38" s="126"/>
      <c r="E38" s="126">
        <v>0</v>
      </c>
      <c r="F38" s="126"/>
      <c r="G38" s="126">
        <f>822</f>
        <v>822</v>
      </c>
      <c r="H38" s="126"/>
      <c r="I38" s="126" t="e">
        <f>SUM(C38:G38)</f>
        <v>#REF!</v>
      </c>
      <c r="K38" s="632"/>
      <c r="L38" s="632"/>
      <c r="M38" s="632"/>
      <c r="N38" s="684"/>
      <c r="O38" s="442"/>
      <c r="P38" s="442"/>
      <c r="Q38" s="442"/>
      <c r="R38" s="157"/>
      <c r="S38" s="154"/>
    </row>
    <row r="39" spans="1:19" s="26" customFormat="1" ht="15.75" thickBot="1">
      <c r="A39" s="683" t="s">
        <v>358</v>
      </c>
      <c r="C39" s="685">
        <v>-3741818</v>
      </c>
      <c r="D39" s="126"/>
      <c r="E39" s="685">
        <v>0</v>
      </c>
      <c r="F39" s="126"/>
      <c r="G39" s="685">
        <v>0</v>
      </c>
      <c r="H39" s="126"/>
      <c r="I39" s="685">
        <f>SUM(C39:G39)</f>
        <v>-3741818</v>
      </c>
      <c r="K39" s="632"/>
      <c r="L39" s="632"/>
      <c r="M39" s="632"/>
      <c r="N39" s="684"/>
      <c r="O39" s="442"/>
      <c r="P39" s="442"/>
      <c r="Q39" s="442"/>
      <c r="R39" s="157"/>
      <c r="S39" s="154"/>
    </row>
    <row r="40" spans="1:19">
      <c r="E40" s="5"/>
      <c r="K40" s="153"/>
      <c r="L40" s="153"/>
      <c r="M40" s="153"/>
      <c r="N40" s="153"/>
      <c r="O40" s="153"/>
      <c r="P40" s="153"/>
      <c r="Q40" s="153"/>
      <c r="R40" s="153"/>
      <c r="S40" s="153"/>
    </row>
    <row r="41" spans="1:19">
      <c r="G41" s="5"/>
      <c r="K41" s="153"/>
      <c r="L41" s="153"/>
      <c r="M41" s="153"/>
      <c r="N41" s="153"/>
      <c r="O41" s="153"/>
      <c r="P41" s="153"/>
      <c r="Q41" s="153"/>
      <c r="R41" s="153"/>
      <c r="S41" s="153"/>
    </row>
    <row r="42" spans="1:19">
      <c r="C42" s="628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>
      <c r="K43" s="153"/>
      <c r="L43" s="153"/>
      <c r="M43" s="153"/>
      <c r="N43" s="153"/>
      <c r="O43" s="153"/>
      <c r="P43" s="153"/>
      <c r="Q43" s="153"/>
      <c r="R43" s="153"/>
      <c r="S43" s="153"/>
    </row>
    <row r="44" spans="1:19">
      <c r="K44" s="153"/>
      <c r="L44" s="153"/>
      <c r="M44" s="153"/>
      <c r="N44" s="153"/>
      <c r="O44" s="153"/>
      <c r="P44" s="153"/>
      <c r="Q44" s="153"/>
      <c r="R44" s="153"/>
      <c r="S44" s="15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9" zoomScale="80" zoomScaleNormal="80" workbookViewId="0">
      <selection activeCell="A88" sqref="A88:A95"/>
    </sheetView>
  </sheetViews>
  <sheetFormatPr defaultColWidth="8.7109375" defaultRowHeight="12.75"/>
  <cols>
    <col min="1" max="1" width="8.7109375" style="2"/>
    <col min="2" max="2" width="15.42578125" style="2" customWidth="1"/>
    <col min="3" max="4" width="10.42578125" style="2" bestFit="1" customWidth="1"/>
    <col min="5" max="6" width="11.85546875" style="2" bestFit="1" customWidth="1"/>
    <col min="7" max="8" width="10.42578125" style="2" bestFit="1" customWidth="1"/>
    <col min="9" max="9" width="15.140625" style="2" customWidth="1"/>
    <col min="10" max="10" width="10.85546875" style="2" customWidth="1"/>
    <col min="11" max="11" width="12.28515625" style="2" customWidth="1"/>
    <col min="12" max="16384" width="8.7109375" style="2"/>
  </cols>
  <sheetData>
    <row r="1" spans="1:11">
      <c r="A1" s="97" t="s">
        <v>460</v>
      </c>
      <c r="B1" s="98"/>
      <c r="C1" s="98"/>
      <c r="D1" s="98"/>
      <c r="E1" s="98"/>
      <c r="F1" s="98"/>
      <c r="G1" s="98"/>
      <c r="H1" s="98"/>
    </row>
    <row r="2" spans="1:11">
      <c r="A2" s="95" t="s">
        <v>461</v>
      </c>
      <c r="B2" s="99"/>
      <c r="C2" s="99"/>
      <c r="D2" s="99"/>
      <c r="E2" s="99"/>
      <c r="F2" s="99"/>
      <c r="G2" s="99"/>
      <c r="H2" s="99"/>
    </row>
    <row r="3" spans="1:11" ht="13.5" thickBot="1">
      <c r="A3" s="96" t="s">
        <v>462</v>
      </c>
      <c r="B3" s="100"/>
      <c r="C3" s="100"/>
      <c r="D3" s="100"/>
      <c r="E3" s="100"/>
      <c r="F3" s="100"/>
      <c r="G3" s="100"/>
      <c r="H3" s="100"/>
    </row>
    <row r="4" spans="1:11">
      <c r="A4" s="101" t="s">
        <v>342</v>
      </c>
      <c r="B4" s="102"/>
      <c r="C4" s="103" t="s">
        <v>51</v>
      </c>
      <c r="D4" s="102"/>
      <c r="E4" s="103" t="s">
        <v>52</v>
      </c>
      <c r="F4" s="102"/>
      <c r="G4" s="103" t="s">
        <v>53</v>
      </c>
      <c r="H4" s="104"/>
    </row>
    <row r="5" spans="1:11" ht="13.5" thickBot="1">
      <c r="A5" s="105" t="s">
        <v>463</v>
      </c>
      <c r="B5" s="106" t="s">
        <v>464</v>
      </c>
      <c r="C5" s="107" t="s">
        <v>54</v>
      </c>
      <c r="D5" s="107" t="s">
        <v>55</v>
      </c>
      <c r="E5" s="107" t="s">
        <v>54</v>
      </c>
      <c r="F5" s="107" t="s">
        <v>55</v>
      </c>
      <c r="G5" s="107" t="s">
        <v>54</v>
      </c>
      <c r="H5" s="108" t="s">
        <v>55</v>
      </c>
      <c r="I5" s="57">
        <v>43100</v>
      </c>
      <c r="J5" s="57">
        <v>43465</v>
      </c>
      <c r="K5" s="109" t="s">
        <v>606</v>
      </c>
    </row>
    <row r="6" spans="1:11">
      <c r="A6" s="110" t="s">
        <v>465</v>
      </c>
      <c r="B6" s="111" t="s">
        <v>466</v>
      </c>
      <c r="C6" s="112">
        <v>1261.8487700000001</v>
      </c>
      <c r="D6" s="112">
        <v>0</v>
      </c>
      <c r="E6" s="112">
        <v>79807.743659999993</v>
      </c>
      <c r="F6" s="112">
        <v>80407.130709999998</v>
      </c>
      <c r="G6" s="112">
        <v>662.46172000000001</v>
      </c>
      <c r="H6" s="113">
        <v>0</v>
      </c>
      <c r="I6" s="41">
        <f>C6-D6</f>
        <v>1261.8487700000001</v>
      </c>
      <c r="J6" s="114">
        <f>G6-H6</f>
        <v>662.46172000000001</v>
      </c>
      <c r="K6" s="2" t="s">
        <v>24</v>
      </c>
    </row>
    <row r="7" spans="1:11">
      <c r="A7" s="110" t="s">
        <v>467</v>
      </c>
      <c r="B7" s="111" t="s">
        <v>468</v>
      </c>
      <c r="C7" s="112">
        <v>0</v>
      </c>
      <c r="D7" s="112">
        <v>0</v>
      </c>
      <c r="E7" s="112">
        <v>44838.264999999999</v>
      </c>
      <c r="F7" s="112">
        <v>44838.264999999999</v>
      </c>
      <c r="G7" s="112">
        <v>0</v>
      </c>
      <c r="H7" s="112">
        <v>0</v>
      </c>
      <c r="I7" s="41">
        <f t="shared" ref="I7:I64" si="0">C7-D7</f>
        <v>0</v>
      </c>
      <c r="J7" s="114">
        <f t="shared" ref="J7:J64" si="1">G7-H7</f>
        <v>0</v>
      </c>
      <c r="K7" s="2" t="s">
        <v>24</v>
      </c>
    </row>
    <row r="8" spans="1:11">
      <c r="A8" s="110" t="s">
        <v>469</v>
      </c>
      <c r="B8" s="111" t="s">
        <v>470</v>
      </c>
      <c r="C8" s="112">
        <v>0</v>
      </c>
      <c r="D8" s="112">
        <v>0</v>
      </c>
      <c r="E8" s="112">
        <v>44838.264999999999</v>
      </c>
      <c r="F8" s="112">
        <v>44838.264999999999</v>
      </c>
      <c r="G8" s="112">
        <v>0</v>
      </c>
      <c r="H8" s="112">
        <v>0</v>
      </c>
      <c r="I8" s="41">
        <f t="shared" si="0"/>
        <v>0</v>
      </c>
      <c r="J8" s="114">
        <f t="shared" si="1"/>
        <v>0</v>
      </c>
      <c r="K8" s="2" t="s">
        <v>24</v>
      </c>
    </row>
    <row r="9" spans="1:11">
      <c r="A9" s="110" t="s">
        <v>471</v>
      </c>
      <c r="B9" s="111" t="s">
        <v>472</v>
      </c>
      <c r="C9" s="112">
        <v>3402.76514</v>
      </c>
      <c r="D9" s="112">
        <v>0</v>
      </c>
      <c r="E9" s="112">
        <v>88835.254000000001</v>
      </c>
      <c r="F9" s="112">
        <v>87690.225640000004</v>
      </c>
      <c r="G9" s="112">
        <v>4547.7934999999998</v>
      </c>
      <c r="H9" s="112">
        <v>0</v>
      </c>
      <c r="I9" s="41">
        <f t="shared" si="0"/>
        <v>3402.76514</v>
      </c>
      <c r="J9" s="114">
        <f t="shared" si="1"/>
        <v>4547.7934999999998</v>
      </c>
      <c r="K9" s="2" t="s">
        <v>24</v>
      </c>
    </row>
    <row r="10" spans="1:11">
      <c r="A10" s="110" t="s">
        <v>473</v>
      </c>
      <c r="B10" s="111" t="s">
        <v>474</v>
      </c>
      <c r="C10" s="112">
        <v>1067.7760000000001</v>
      </c>
      <c r="D10" s="112">
        <v>0</v>
      </c>
      <c r="E10" s="112">
        <v>69991.599680000014</v>
      </c>
      <c r="F10" s="112">
        <v>70291.932680000013</v>
      </c>
      <c r="G10" s="112">
        <v>767.44299999999998</v>
      </c>
      <c r="H10" s="112">
        <v>0</v>
      </c>
      <c r="I10" s="41">
        <f t="shared" si="0"/>
        <v>1067.7760000000001</v>
      </c>
      <c r="J10" s="114">
        <f t="shared" si="1"/>
        <v>767.44299999999998</v>
      </c>
      <c r="K10" s="2" t="s">
        <v>19</v>
      </c>
    </row>
    <row r="11" spans="1:11">
      <c r="A11" s="110" t="s">
        <v>475</v>
      </c>
      <c r="B11" s="111" t="s">
        <v>476</v>
      </c>
      <c r="C11" s="112">
        <v>35130.247360000001</v>
      </c>
      <c r="D11" s="112">
        <v>0</v>
      </c>
      <c r="E11" s="112">
        <v>57523.222179999997</v>
      </c>
      <c r="F11" s="112">
        <v>35720.806400000001</v>
      </c>
      <c r="G11" s="112">
        <v>56932.663140000004</v>
      </c>
      <c r="H11" s="112">
        <v>0</v>
      </c>
      <c r="I11" s="41">
        <f t="shared" si="0"/>
        <v>35130.247360000001</v>
      </c>
      <c r="J11" s="114">
        <f t="shared" si="1"/>
        <v>56932.663140000004</v>
      </c>
      <c r="K11" s="2" t="s">
        <v>19</v>
      </c>
    </row>
    <row r="12" spans="1:11">
      <c r="A12" s="110" t="s">
        <v>477</v>
      </c>
      <c r="B12" s="111" t="s">
        <v>478</v>
      </c>
      <c r="C12" s="112">
        <v>245.51669000000001</v>
      </c>
      <c r="D12" s="112">
        <v>0</v>
      </c>
      <c r="E12" s="112">
        <v>17352.874</v>
      </c>
      <c r="F12" s="112">
        <v>17504.59894</v>
      </c>
      <c r="G12" s="112">
        <v>93.791749999999993</v>
      </c>
      <c r="H12" s="112">
        <v>0</v>
      </c>
      <c r="I12" s="41">
        <f t="shared" si="0"/>
        <v>245.51669000000001</v>
      </c>
      <c r="J12" s="114">
        <f t="shared" si="1"/>
        <v>93.791749999999993</v>
      </c>
      <c r="K12" s="2" t="s">
        <v>19</v>
      </c>
    </row>
    <row r="13" spans="1:11">
      <c r="A13" s="110" t="s">
        <v>479</v>
      </c>
      <c r="B13" s="111" t="s">
        <v>480</v>
      </c>
      <c r="C13" s="112">
        <v>1473.74252</v>
      </c>
      <c r="D13" s="112">
        <v>0</v>
      </c>
      <c r="E13" s="112">
        <v>886.54318999999998</v>
      </c>
      <c r="F13" s="112">
        <v>1529.5862199999999</v>
      </c>
      <c r="G13" s="112">
        <v>830.69948999999997</v>
      </c>
      <c r="H13" s="112">
        <v>0</v>
      </c>
      <c r="I13" s="41">
        <f t="shared" si="0"/>
        <v>1473.74252</v>
      </c>
      <c r="J13" s="114">
        <f t="shared" si="1"/>
        <v>830.69948999999997</v>
      </c>
      <c r="K13" s="2" t="s">
        <v>19</v>
      </c>
    </row>
    <row r="14" spans="1:11">
      <c r="A14" s="110" t="s">
        <v>481</v>
      </c>
      <c r="B14" s="111" t="s">
        <v>482</v>
      </c>
      <c r="C14" s="112">
        <v>2123.7157999999999</v>
      </c>
      <c r="D14" s="112">
        <v>0</v>
      </c>
      <c r="E14" s="112">
        <v>16763.557199999999</v>
      </c>
      <c r="F14" s="112">
        <v>17520.504000000001</v>
      </c>
      <c r="G14" s="112">
        <v>1366.769</v>
      </c>
      <c r="H14" s="112">
        <v>0</v>
      </c>
      <c r="I14" s="41">
        <f t="shared" si="0"/>
        <v>2123.7157999999999</v>
      </c>
      <c r="J14" s="114">
        <f t="shared" si="1"/>
        <v>1366.769</v>
      </c>
      <c r="K14" s="2" t="s">
        <v>19</v>
      </c>
    </row>
    <row r="15" spans="1:11">
      <c r="A15" s="110" t="s">
        <v>484</v>
      </c>
      <c r="B15" s="111" t="s">
        <v>483</v>
      </c>
      <c r="C15" s="112">
        <v>199.7</v>
      </c>
      <c r="D15" s="112">
        <v>0</v>
      </c>
      <c r="E15" s="112">
        <v>0</v>
      </c>
      <c r="F15" s="112">
        <v>0</v>
      </c>
      <c r="G15" s="112">
        <v>199.7</v>
      </c>
      <c r="H15" s="112">
        <v>0</v>
      </c>
      <c r="I15" s="41">
        <f t="shared" si="0"/>
        <v>199.7</v>
      </c>
      <c r="J15" s="114">
        <f t="shared" si="1"/>
        <v>199.7</v>
      </c>
      <c r="K15" s="2" t="s">
        <v>19</v>
      </c>
    </row>
    <row r="16" spans="1:11">
      <c r="A16" s="110" t="s">
        <v>485</v>
      </c>
      <c r="B16" s="111" t="s">
        <v>486</v>
      </c>
      <c r="C16" s="112">
        <v>0</v>
      </c>
      <c r="D16" s="112">
        <v>393.61162000000002</v>
      </c>
      <c r="E16" s="112">
        <v>393.61162000000002</v>
      </c>
      <c r="F16" s="112">
        <v>0</v>
      </c>
      <c r="G16" s="112">
        <v>0</v>
      </c>
      <c r="H16" s="112">
        <v>0</v>
      </c>
      <c r="I16" s="41">
        <f t="shared" si="0"/>
        <v>-393.61162000000002</v>
      </c>
      <c r="J16" s="114">
        <f t="shared" si="1"/>
        <v>0</v>
      </c>
      <c r="K16" s="2" t="s">
        <v>19</v>
      </c>
    </row>
    <row r="17" spans="1:11">
      <c r="A17" s="110" t="s">
        <v>487</v>
      </c>
      <c r="B17" s="111" t="s">
        <v>488</v>
      </c>
      <c r="C17" s="112">
        <v>1318.13705</v>
      </c>
      <c r="D17" s="112">
        <v>0</v>
      </c>
      <c r="E17" s="112">
        <v>6696.7027199999993</v>
      </c>
      <c r="F17" s="112">
        <v>6898.9527400000006</v>
      </c>
      <c r="G17" s="112">
        <v>1115.8870300000001</v>
      </c>
      <c r="H17" s="112">
        <v>0</v>
      </c>
      <c r="I17" s="41">
        <f t="shared" si="0"/>
        <v>1318.13705</v>
      </c>
      <c r="J17" s="114">
        <f t="shared" si="1"/>
        <v>1115.8870300000001</v>
      </c>
      <c r="K17" s="2" t="s">
        <v>16</v>
      </c>
    </row>
    <row r="18" spans="1:11">
      <c r="A18" s="110" t="s">
        <v>489</v>
      </c>
      <c r="B18" s="111" t="s">
        <v>490</v>
      </c>
      <c r="C18" s="112">
        <v>0</v>
      </c>
      <c r="D18" s="112">
        <v>0</v>
      </c>
      <c r="E18" s="112">
        <v>41202.006829999998</v>
      </c>
      <c r="F18" s="112">
        <v>41202.006829999998</v>
      </c>
      <c r="G18" s="112">
        <v>0</v>
      </c>
      <c r="H18" s="112">
        <v>0</v>
      </c>
      <c r="I18" s="41">
        <f t="shared" si="0"/>
        <v>0</v>
      </c>
      <c r="J18" s="114">
        <f t="shared" si="1"/>
        <v>0</v>
      </c>
      <c r="K18" s="2" t="s">
        <v>16</v>
      </c>
    </row>
    <row r="19" spans="1:11">
      <c r="A19" s="110" t="s">
        <v>491</v>
      </c>
      <c r="B19" s="111" t="s">
        <v>492</v>
      </c>
      <c r="C19" s="112">
        <v>1205.40717</v>
      </c>
      <c r="D19" s="112">
        <v>0</v>
      </c>
      <c r="E19" s="112">
        <v>64596.831920000004</v>
      </c>
      <c r="F19" s="112">
        <v>64386.92252</v>
      </c>
      <c r="G19" s="112">
        <v>1415.31657</v>
      </c>
      <c r="H19" s="112">
        <v>0</v>
      </c>
      <c r="I19" s="41">
        <f t="shared" si="0"/>
        <v>1205.40717</v>
      </c>
      <c r="J19" s="114">
        <f t="shared" si="1"/>
        <v>1415.31657</v>
      </c>
      <c r="K19" s="2" t="s">
        <v>16</v>
      </c>
    </row>
    <row r="20" spans="1:11">
      <c r="A20" s="110" t="s">
        <v>493</v>
      </c>
      <c r="B20" s="111" t="s">
        <v>494</v>
      </c>
      <c r="C20" s="112">
        <v>0.38724000000000003</v>
      </c>
      <c r="D20" s="112">
        <v>0</v>
      </c>
      <c r="E20" s="112">
        <v>3690.6291800000004</v>
      </c>
      <c r="F20" s="112">
        <v>0</v>
      </c>
      <c r="G20" s="112">
        <v>3691.0164199999999</v>
      </c>
      <c r="H20" s="112">
        <v>0</v>
      </c>
      <c r="I20" s="41">
        <f t="shared" si="0"/>
        <v>0.38724000000000003</v>
      </c>
      <c r="J20" s="114">
        <f t="shared" si="1"/>
        <v>3691.0164199999999</v>
      </c>
      <c r="K20" s="2" t="s">
        <v>11</v>
      </c>
    </row>
    <row r="21" spans="1:11">
      <c r="A21" s="110" t="s">
        <v>495</v>
      </c>
      <c r="B21" s="111" t="s">
        <v>496</v>
      </c>
      <c r="C21" s="112">
        <v>138.24945000000002</v>
      </c>
      <c r="D21" s="112">
        <v>0</v>
      </c>
      <c r="E21" s="112">
        <v>4258.4573600000003</v>
      </c>
      <c r="F21" s="112">
        <v>4333.3291300000001</v>
      </c>
      <c r="G21" s="112">
        <v>63.377679999999998</v>
      </c>
      <c r="H21" s="112">
        <v>0</v>
      </c>
      <c r="I21" s="41">
        <f t="shared" si="0"/>
        <v>138.24945000000002</v>
      </c>
      <c r="J21" s="114">
        <f t="shared" si="1"/>
        <v>63.377679999999998</v>
      </c>
      <c r="K21" s="2" t="s">
        <v>12</v>
      </c>
    </row>
    <row r="22" spans="1:11">
      <c r="A22" s="110" t="s">
        <v>497</v>
      </c>
      <c r="B22" s="111" t="s">
        <v>498</v>
      </c>
      <c r="C22" s="112">
        <v>18.125</v>
      </c>
      <c r="D22" s="112">
        <v>0</v>
      </c>
      <c r="E22" s="112">
        <v>240.5</v>
      </c>
      <c r="F22" s="112">
        <v>258.625</v>
      </c>
      <c r="G22" s="112">
        <v>0</v>
      </c>
      <c r="H22" s="112">
        <v>0</v>
      </c>
      <c r="I22" s="41">
        <f t="shared" si="0"/>
        <v>18.125</v>
      </c>
      <c r="J22" s="114">
        <f t="shared" si="1"/>
        <v>0</v>
      </c>
      <c r="K22" s="2" t="s">
        <v>12</v>
      </c>
    </row>
    <row r="23" spans="1:11">
      <c r="A23" s="110" t="s">
        <v>500</v>
      </c>
      <c r="B23" s="111" t="s">
        <v>501</v>
      </c>
      <c r="C23" s="112">
        <v>500.41</v>
      </c>
      <c r="D23" s="112">
        <v>0</v>
      </c>
      <c r="E23" s="112">
        <v>0</v>
      </c>
      <c r="F23" s="112">
        <v>0</v>
      </c>
      <c r="G23" s="112">
        <v>500.41</v>
      </c>
      <c r="H23" s="112">
        <v>0</v>
      </c>
      <c r="I23" s="41">
        <f t="shared" si="0"/>
        <v>500.41</v>
      </c>
      <c r="J23" s="114">
        <f t="shared" si="1"/>
        <v>500.41</v>
      </c>
      <c r="K23" s="2" t="s">
        <v>7</v>
      </c>
    </row>
    <row r="24" spans="1:11">
      <c r="A24" s="110" t="s">
        <v>502</v>
      </c>
      <c r="B24" s="111" t="s">
        <v>459</v>
      </c>
      <c r="C24" s="112">
        <v>227769.98981</v>
      </c>
      <c r="D24" s="112">
        <v>0</v>
      </c>
      <c r="E24" s="112">
        <v>0</v>
      </c>
      <c r="F24" s="112">
        <v>0</v>
      </c>
      <c r="G24" s="112">
        <v>227769.98981</v>
      </c>
      <c r="H24" s="112">
        <v>0</v>
      </c>
      <c r="I24" s="41">
        <f t="shared" si="0"/>
        <v>227769.98981</v>
      </c>
      <c r="J24" s="114">
        <f t="shared" si="1"/>
        <v>227769.98981</v>
      </c>
      <c r="K24" s="2" t="s">
        <v>7</v>
      </c>
    </row>
    <row r="25" spans="1:11">
      <c r="A25" s="110" t="s">
        <v>503</v>
      </c>
      <c r="B25" s="111" t="s">
        <v>504</v>
      </c>
      <c r="C25" s="112">
        <v>7656.2473399999999</v>
      </c>
      <c r="D25" s="112">
        <v>0</v>
      </c>
      <c r="E25" s="112">
        <v>1309.08196</v>
      </c>
      <c r="F25" s="112">
        <v>233.88249999999999</v>
      </c>
      <c r="G25" s="112">
        <v>8731.4468000000015</v>
      </c>
      <c r="H25" s="112">
        <v>0</v>
      </c>
      <c r="I25" s="41">
        <f t="shared" si="0"/>
        <v>7656.2473399999999</v>
      </c>
      <c r="J25" s="114">
        <f t="shared" si="1"/>
        <v>8731.4468000000015</v>
      </c>
      <c r="K25" s="2" t="s">
        <v>7</v>
      </c>
    </row>
    <row r="26" spans="1:11">
      <c r="A26" s="110" t="s">
        <v>505</v>
      </c>
      <c r="B26" s="111" t="s">
        <v>506</v>
      </c>
      <c r="C26" s="112">
        <v>225.76537999999999</v>
      </c>
      <c r="D26" s="112">
        <v>0</v>
      </c>
      <c r="E26" s="112">
        <v>0</v>
      </c>
      <c r="F26" s="112">
        <v>0</v>
      </c>
      <c r="G26" s="112">
        <v>225.76537999999999</v>
      </c>
      <c r="H26" s="112">
        <v>0</v>
      </c>
      <c r="I26" s="41">
        <f t="shared" si="0"/>
        <v>225.76537999999999</v>
      </c>
      <c r="J26" s="114">
        <f t="shared" si="1"/>
        <v>225.76537999999999</v>
      </c>
      <c r="K26" s="2" t="s">
        <v>7</v>
      </c>
    </row>
    <row r="27" spans="1:11">
      <c r="A27" s="110" t="s">
        <v>507</v>
      </c>
      <c r="B27" s="111" t="s">
        <v>508</v>
      </c>
      <c r="C27" s="112">
        <v>38645.525000000001</v>
      </c>
      <c r="D27" s="112">
        <v>0</v>
      </c>
      <c r="E27" s="112">
        <v>2013.90642</v>
      </c>
      <c r="F27" s="112">
        <v>3852.6468199999999</v>
      </c>
      <c r="G27" s="112">
        <v>36806.784599999999</v>
      </c>
      <c r="H27" s="112">
        <v>0</v>
      </c>
      <c r="I27" s="41">
        <f t="shared" si="0"/>
        <v>38645.525000000001</v>
      </c>
      <c r="J27" s="114">
        <f t="shared" si="1"/>
        <v>36806.784599999999</v>
      </c>
      <c r="K27" s="2" t="s">
        <v>7</v>
      </c>
    </row>
    <row r="28" spans="1:11">
      <c r="A28" s="110" t="s">
        <v>509</v>
      </c>
      <c r="B28" s="111" t="s">
        <v>510</v>
      </c>
      <c r="C28" s="112">
        <v>0</v>
      </c>
      <c r="D28" s="112">
        <v>34795.697380000005</v>
      </c>
      <c r="E28" s="112">
        <v>0</v>
      </c>
      <c r="F28" s="112">
        <v>4952.4898800000001</v>
      </c>
      <c r="G28" s="112">
        <v>0</v>
      </c>
      <c r="H28" s="113">
        <v>39748.187259999999</v>
      </c>
      <c r="I28" s="41">
        <f t="shared" si="0"/>
        <v>-34795.697380000005</v>
      </c>
      <c r="J28" s="114">
        <f t="shared" si="1"/>
        <v>-39748.187259999999</v>
      </c>
      <c r="K28" s="2" t="s">
        <v>7</v>
      </c>
    </row>
    <row r="29" spans="1:11">
      <c r="A29" s="110" t="s">
        <v>511</v>
      </c>
      <c r="B29" s="111" t="s">
        <v>512</v>
      </c>
      <c r="C29" s="112">
        <v>0</v>
      </c>
      <c r="D29" s="112">
        <v>3877.8836299999998</v>
      </c>
      <c r="E29" s="112">
        <v>200.51592000000002</v>
      </c>
      <c r="F29" s="112">
        <v>672.42343999999991</v>
      </c>
      <c r="G29" s="112">
        <v>0</v>
      </c>
      <c r="H29" s="113">
        <v>4349.79115</v>
      </c>
      <c r="I29" s="41">
        <f t="shared" si="0"/>
        <v>-3877.8836299999998</v>
      </c>
      <c r="J29" s="114">
        <f t="shared" si="1"/>
        <v>-4349.79115</v>
      </c>
      <c r="K29" s="2" t="s">
        <v>7</v>
      </c>
    </row>
    <row r="30" spans="1:11">
      <c r="A30" s="110" t="s">
        <v>513</v>
      </c>
      <c r="B30" s="111" t="s">
        <v>514</v>
      </c>
      <c r="C30" s="112">
        <v>0</v>
      </c>
      <c r="D30" s="112">
        <v>126.18394000000001</v>
      </c>
      <c r="E30" s="112">
        <v>0</v>
      </c>
      <c r="F30" s="112">
        <v>39.847559999999994</v>
      </c>
      <c r="G30" s="112">
        <v>0</v>
      </c>
      <c r="H30" s="113">
        <v>166.03149999999999</v>
      </c>
      <c r="I30" s="41">
        <f t="shared" si="0"/>
        <v>-126.18394000000001</v>
      </c>
      <c r="J30" s="114">
        <f t="shared" si="1"/>
        <v>-166.03149999999999</v>
      </c>
      <c r="K30" s="2" t="s">
        <v>7</v>
      </c>
    </row>
    <row r="31" spans="1:11">
      <c r="A31" s="110" t="s">
        <v>515</v>
      </c>
      <c r="B31" s="111" t="s">
        <v>516</v>
      </c>
      <c r="C31" s="112">
        <v>0</v>
      </c>
      <c r="D31" s="112">
        <v>31557.18116</v>
      </c>
      <c r="E31" s="112">
        <v>2707.3533399999997</v>
      </c>
      <c r="F31" s="112">
        <v>1809.0233700000001</v>
      </c>
      <c r="G31" s="112">
        <v>0</v>
      </c>
      <c r="H31" s="113">
        <v>30658.851190000001</v>
      </c>
      <c r="I31" s="41">
        <f t="shared" si="0"/>
        <v>-31557.18116</v>
      </c>
      <c r="J31" s="114">
        <f t="shared" si="1"/>
        <v>-30658.851190000001</v>
      </c>
      <c r="K31" s="2" t="s">
        <v>7</v>
      </c>
    </row>
    <row r="32" spans="1:11">
      <c r="A32" s="110" t="s">
        <v>517</v>
      </c>
      <c r="B32" s="111" t="s">
        <v>518</v>
      </c>
      <c r="C32" s="112">
        <v>225.80357999999998</v>
      </c>
      <c r="D32" s="112">
        <v>0</v>
      </c>
      <c r="E32" s="112">
        <v>0</v>
      </c>
      <c r="F32" s="112">
        <v>0</v>
      </c>
      <c r="G32" s="112">
        <v>225.80357999999998</v>
      </c>
      <c r="H32" s="112">
        <v>0</v>
      </c>
      <c r="I32" s="41">
        <f t="shared" si="0"/>
        <v>225.80357999999998</v>
      </c>
      <c r="J32" s="114">
        <f t="shared" si="1"/>
        <v>225.80357999999998</v>
      </c>
      <c r="K32" s="2" t="s">
        <v>9</v>
      </c>
    </row>
    <row r="33" spans="1:11">
      <c r="A33" s="110" t="s">
        <v>519</v>
      </c>
      <c r="B33" s="111" t="s">
        <v>520</v>
      </c>
      <c r="C33" s="112">
        <v>0</v>
      </c>
      <c r="D33" s="112">
        <v>170.8597</v>
      </c>
      <c r="E33" s="112">
        <v>0</v>
      </c>
      <c r="F33" s="112">
        <v>22.580400000000001</v>
      </c>
      <c r="G33" s="112">
        <v>0</v>
      </c>
      <c r="H33" s="113">
        <v>193.4401</v>
      </c>
      <c r="I33" s="41">
        <f t="shared" si="0"/>
        <v>-170.8597</v>
      </c>
      <c r="J33" s="114">
        <f t="shared" si="1"/>
        <v>-193.4401</v>
      </c>
      <c r="K33" s="2" t="s">
        <v>9</v>
      </c>
    </row>
    <row r="34" spans="1:11">
      <c r="A34" s="110" t="s">
        <v>521</v>
      </c>
      <c r="B34" s="111" t="s">
        <v>522</v>
      </c>
      <c r="C34" s="112">
        <v>0</v>
      </c>
      <c r="D34" s="112">
        <v>498.62272999999999</v>
      </c>
      <c r="E34" s="112">
        <v>2256.0188399999997</v>
      </c>
      <c r="F34" s="112">
        <v>2335.68514</v>
      </c>
      <c r="G34" s="112">
        <v>0</v>
      </c>
      <c r="H34" s="113">
        <v>578.28903000000003</v>
      </c>
      <c r="I34" s="41">
        <f t="shared" si="0"/>
        <v>-498.62272999999999</v>
      </c>
      <c r="J34" s="114">
        <f t="shared" si="1"/>
        <v>-578.28903000000003</v>
      </c>
      <c r="K34" s="2" t="s">
        <v>38</v>
      </c>
    </row>
    <row r="35" spans="1:11">
      <c r="A35" s="110" t="s">
        <v>523</v>
      </c>
      <c r="B35" s="111" t="s">
        <v>494</v>
      </c>
      <c r="C35" s="112">
        <v>0</v>
      </c>
      <c r="D35" s="112">
        <v>1233.34231</v>
      </c>
      <c r="E35" s="112">
        <v>13369.021919999999</v>
      </c>
      <c r="F35" s="112">
        <v>16696.847659999999</v>
      </c>
      <c r="G35" s="112">
        <v>0</v>
      </c>
      <c r="H35" s="113">
        <v>4561.1680500000002</v>
      </c>
      <c r="I35" s="41">
        <f t="shared" si="0"/>
        <v>-1233.34231</v>
      </c>
      <c r="J35" s="114">
        <f t="shared" si="1"/>
        <v>-4561.1680500000002</v>
      </c>
      <c r="K35" s="2" t="s">
        <v>38</v>
      </c>
    </row>
    <row r="36" spans="1:11">
      <c r="A36" s="110" t="s">
        <v>524</v>
      </c>
      <c r="B36" s="111" t="s">
        <v>525</v>
      </c>
      <c r="C36" s="112">
        <v>0</v>
      </c>
      <c r="D36" s="112">
        <v>300.23770000000002</v>
      </c>
      <c r="E36" s="112">
        <v>2611.7287500000002</v>
      </c>
      <c r="F36" s="112">
        <v>2658.4963900000002</v>
      </c>
      <c r="G36" s="112">
        <v>0</v>
      </c>
      <c r="H36" s="113">
        <v>347.00534000000005</v>
      </c>
      <c r="I36" s="41">
        <f t="shared" si="0"/>
        <v>-300.23770000000002</v>
      </c>
      <c r="J36" s="114">
        <f t="shared" si="1"/>
        <v>-347.00534000000005</v>
      </c>
      <c r="K36" s="2" t="s">
        <v>38</v>
      </c>
    </row>
    <row r="37" spans="1:11">
      <c r="A37" s="110" t="s">
        <v>526</v>
      </c>
      <c r="B37" s="111" t="s">
        <v>527</v>
      </c>
      <c r="C37" s="112">
        <v>0</v>
      </c>
      <c r="D37" s="112">
        <v>2.2778299999999998</v>
      </c>
      <c r="E37" s="112">
        <v>25.908000000000001</v>
      </c>
      <c r="F37" s="112">
        <v>23.63017</v>
      </c>
      <c r="G37" s="112">
        <v>0</v>
      </c>
      <c r="H37" s="113">
        <v>0</v>
      </c>
      <c r="I37" s="41">
        <f t="shared" si="0"/>
        <v>-2.2778299999999998</v>
      </c>
      <c r="J37" s="114">
        <f t="shared" si="1"/>
        <v>0</v>
      </c>
      <c r="K37" s="2" t="s">
        <v>38</v>
      </c>
    </row>
    <row r="38" spans="1:11">
      <c r="A38" s="110" t="s">
        <v>528</v>
      </c>
      <c r="B38" s="111" t="s">
        <v>529</v>
      </c>
      <c r="C38" s="112">
        <v>0</v>
      </c>
      <c r="D38" s="112">
        <v>4.5380000000000003</v>
      </c>
      <c r="E38" s="112">
        <v>9.3695199999999996</v>
      </c>
      <c r="F38" s="112">
        <v>4.8315200000000003</v>
      </c>
      <c r="G38" s="112">
        <v>0</v>
      </c>
      <c r="H38" s="113">
        <v>0</v>
      </c>
      <c r="I38" s="41">
        <f t="shared" si="0"/>
        <v>-4.5380000000000003</v>
      </c>
      <c r="J38" s="114">
        <f t="shared" si="1"/>
        <v>0</v>
      </c>
      <c r="K38" s="2" t="s">
        <v>38</v>
      </c>
    </row>
    <row r="39" spans="1:11">
      <c r="A39" s="110" t="s">
        <v>530</v>
      </c>
      <c r="B39" s="111" t="s">
        <v>531</v>
      </c>
      <c r="C39" s="112">
        <v>0</v>
      </c>
      <c r="D39" s="112">
        <v>-148.89539000000002</v>
      </c>
      <c r="E39" s="112">
        <v>2654.4870599999999</v>
      </c>
      <c r="F39" s="112">
        <v>2803.3824500000001</v>
      </c>
      <c r="G39" s="112">
        <v>0</v>
      </c>
      <c r="H39" s="113">
        <v>0</v>
      </c>
      <c r="I39" s="41">
        <f t="shared" si="0"/>
        <v>148.89539000000002</v>
      </c>
      <c r="J39" s="114">
        <f t="shared" si="1"/>
        <v>0</v>
      </c>
      <c r="K39" s="2" t="s">
        <v>38</v>
      </c>
    </row>
    <row r="40" spans="1:11">
      <c r="A40" s="110" t="s">
        <v>532</v>
      </c>
      <c r="B40" s="111" t="s">
        <v>533</v>
      </c>
      <c r="C40" s="112">
        <v>0</v>
      </c>
      <c r="D40" s="112">
        <v>-1.116E-2</v>
      </c>
      <c r="E40" s="112">
        <v>182.81276</v>
      </c>
      <c r="F40" s="112">
        <v>182.82392000000002</v>
      </c>
      <c r="G40" s="112">
        <v>0</v>
      </c>
      <c r="H40" s="113">
        <v>0</v>
      </c>
      <c r="I40" s="41">
        <f t="shared" si="0"/>
        <v>1.116E-2</v>
      </c>
      <c r="J40" s="114">
        <f t="shared" si="1"/>
        <v>0</v>
      </c>
      <c r="K40" s="2" t="s">
        <v>38</v>
      </c>
    </row>
    <row r="41" spans="1:11">
      <c r="A41" s="110" t="s">
        <v>534</v>
      </c>
      <c r="B41" s="111" t="s">
        <v>535</v>
      </c>
      <c r="C41" s="112">
        <v>0</v>
      </c>
      <c r="D41" s="112">
        <v>141.87433999999999</v>
      </c>
      <c r="E41" s="112">
        <v>1087.0711299999998</v>
      </c>
      <c r="F41" s="112">
        <v>1094.2597900000001</v>
      </c>
      <c r="G41" s="112">
        <v>0</v>
      </c>
      <c r="H41" s="113">
        <v>149.06299999999999</v>
      </c>
      <c r="I41" s="41">
        <f t="shared" si="0"/>
        <v>-141.87433999999999</v>
      </c>
      <c r="J41" s="114">
        <f t="shared" si="1"/>
        <v>-149.06299999999999</v>
      </c>
      <c r="K41" s="2" t="s">
        <v>38</v>
      </c>
    </row>
    <row r="42" spans="1:11">
      <c r="A42" s="110" t="s">
        <v>536</v>
      </c>
      <c r="B42" s="111" t="s">
        <v>537</v>
      </c>
      <c r="C42" s="112">
        <v>0</v>
      </c>
      <c r="D42" s="112">
        <v>410.31139000000002</v>
      </c>
      <c r="E42" s="112">
        <v>3313.4724200000001</v>
      </c>
      <c r="F42" s="112">
        <v>3406.3917700000002</v>
      </c>
      <c r="G42" s="112">
        <v>0</v>
      </c>
      <c r="H42" s="113">
        <v>503.23073999999997</v>
      </c>
      <c r="I42" s="41">
        <f t="shared" si="0"/>
        <v>-410.31139000000002</v>
      </c>
      <c r="J42" s="114">
        <f t="shared" si="1"/>
        <v>-503.23073999999997</v>
      </c>
      <c r="K42" s="2" t="s">
        <v>38</v>
      </c>
    </row>
    <row r="43" spans="1:11">
      <c r="A43" s="110" t="s">
        <v>538</v>
      </c>
      <c r="B43" s="111" t="s">
        <v>539</v>
      </c>
      <c r="C43" s="112">
        <v>0</v>
      </c>
      <c r="D43" s="112">
        <v>36.414000000000001</v>
      </c>
      <c r="E43" s="112">
        <v>448.41984000000002</v>
      </c>
      <c r="F43" s="112">
        <v>481.66684000000004</v>
      </c>
      <c r="G43" s="112">
        <v>0</v>
      </c>
      <c r="H43" s="113">
        <v>69.661000000000001</v>
      </c>
      <c r="I43" s="41">
        <f t="shared" si="0"/>
        <v>-36.414000000000001</v>
      </c>
      <c r="J43" s="114">
        <f t="shared" si="1"/>
        <v>-69.661000000000001</v>
      </c>
      <c r="K43" s="2" t="s">
        <v>38</v>
      </c>
    </row>
    <row r="44" spans="1:11">
      <c r="A44" s="110" t="s">
        <v>540</v>
      </c>
      <c r="B44" s="111" t="s">
        <v>541</v>
      </c>
      <c r="C44" s="112">
        <v>0</v>
      </c>
      <c r="D44" s="112">
        <v>16.780999999999999</v>
      </c>
      <c r="E44" s="112">
        <v>16.780999999999999</v>
      </c>
      <c r="F44" s="112">
        <v>0</v>
      </c>
      <c r="G44" s="112">
        <v>0</v>
      </c>
      <c r="H44" s="113">
        <v>0</v>
      </c>
      <c r="I44" s="41">
        <f t="shared" si="0"/>
        <v>-16.780999999999999</v>
      </c>
      <c r="J44" s="114">
        <f t="shared" si="1"/>
        <v>0</v>
      </c>
      <c r="K44" s="2" t="s">
        <v>38</v>
      </c>
    </row>
    <row r="45" spans="1:11">
      <c r="A45" s="110" t="s">
        <v>542</v>
      </c>
      <c r="B45" s="111" t="s">
        <v>543</v>
      </c>
      <c r="C45" s="112">
        <v>0</v>
      </c>
      <c r="D45" s="112">
        <v>4155.5501299999996</v>
      </c>
      <c r="E45" s="112">
        <v>70073.558390000006</v>
      </c>
      <c r="F45" s="112">
        <v>72021.827109999998</v>
      </c>
      <c r="G45" s="112">
        <v>0</v>
      </c>
      <c r="H45" s="113">
        <v>6103.8188499999997</v>
      </c>
      <c r="I45" s="41">
        <f t="shared" si="0"/>
        <v>-4155.5501299999996</v>
      </c>
      <c r="J45" s="114">
        <f t="shared" si="1"/>
        <v>-6103.8188499999997</v>
      </c>
      <c r="K45" s="2" t="s">
        <v>38</v>
      </c>
    </row>
    <row r="46" spans="1:11">
      <c r="A46" s="110" t="s">
        <v>544</v>
      </c>
      <c r="B46" s="111" t="s">
        <v>545</v>
      </c>
      <c r="C46" s="112">
        <v>0</v>
      </c>
      <c r="D46" s="112">
        <v>87693.767959999997</v>
      </c>
      <c r="E46" s="112">
        <v>0</v>
      </c>
      <c r="F46" s="112">
        <v>0</v>
      </c>
      <c r="G46" s="112">
        <v>0</v>
      </c>
      <c r="H46" s="113">
        <v>87693.767959999997</v>
      </c>
      <c r="I46" s="41">
        <f t="shared" si="0"/>
        <v>-87693.767959999997</v>
      </c>
      <c r="J46" s="114">
        <f t="shared" si="1"/>
        <v>-87693.767959999997</v>
      </c>
      <c r="K46" s="2" t="s">
        <v>38</v>
      </c>
    </row>
    <row r="47" spans="1:11">
      <c r="A47" s="110" t="s">
        <v>546</v>
      </c>
      <c r="B47" s="111" t="s">
        <v>547</v>
      </c>
      <c r="C47" s="112">
        <v>0</v>
      </c>
      <c r="D47" s="112">
        <v>83000</v>
      </c>
      <c r="E47" s="112">
        <v>0</v>
      </c>
      <c r="F47" s="112">
        <v>0</v>
      </c>
      <c r="G47" s="112">
        <v>0</v>
      </c>
      <c r="H47" s="113">
        <v>83000</v>
      </c>
      <c r="I47" s="41">
        <f t="shared" si="0"/>
        <v>-83000</v>
      </c>
      <c r="J47" s="114">
        <f t="shared" si="1"/>
        <v>-83000</v>
      </c>
      <c r="K47" s="2" t="s">
        <v>38</v>
      </c>
    </row>
    <row r="48" spans="1:11">
      <c r="A48" s="110" t="s">
        <v>548</v>
      </c>
      <c r="B48" s="111" t="s">
        <v>549</v>
      </c>
      <c r="C48" s="112">
        <v>0</v>
      </c>
      <c r="D48" s="112">
        <v>1571.57638</v>
      </c>
      <c r="E48" s="112">
        <v>35984.318700000003</v>
      </c>
      <c r="F48" s="112">
        <v>36260.027620000001</v>
      </c>
      <c r="G48" s="112">
        <v>0</v>
      </c>
      <c r="H48" s="113">
        <v>1847.2853</v>
      </c>
      <c r="I48" s="41">
        <f t="shared" si="0"/>
        <v>-1571.57638</v>
      </c>
      <c r="J48" s="114">
        <f t="shared" si="1"/>
        <v>-1847.2853</v>
      </c>
      <c r="K48" s="2" t="s">
        <v>38</v>
      </c>
    </row>
    <row r="49" spans="1:11">
      <c r="A49" s="110" t="s">
        <v>551</v>
      </c>
      <c r="B49" s="111" t="s">
        <v>552</v>
      </c>
      <c r="C49" s="112">
        <v>0</v>
      </c>
      <c r="D49" s="112">
        <v>28.826599999999999</v>
      </c>
      <c r="E49" s="112">
        <v>5.8908800000000001</v>
      </c>
      <c r="F49" s="112">
        <v>0</v>
      </c>
      <c r="G49" s="112">
        <v>0</v>
      </c>
      <c r="H49" s="113">
        <v>22.93572</v>
      </c>
      <c r="I49" s="41">
        <f t="shared" si="0"/>
        <v>-28.826599999999999</v>
      </c>
      <c r="J49" s="114">
        <f t="shared" si="1"/>
        <v>-22.93572</v>
      </c>
      <c r="K49" s="2" t="s">
        <v>38</v>
      </c>
    </row>
    <row r="50" spans="1:11">
      <c r="A50" s="110" t="s">
        <v>553</v>
      </c>
      <c r="B50" s="111" t="s">
        <v>554</v>
      </c>
      <c r="C50" s="112">
        <v>0</v>
      </c>
      <c r="D50" s="112">
        <v>63.581480000000006</v>
      </c>
      <c r="E50" s="112">
        <v>473.59598999999997</v>
      </c>
      <c r="F50" s="112">
        <v>457.69801000000001</v>
      </c>
      <c r="G50" s="112">
        <v>0</v>
      </c>
      <c r="H50" s="113">
        <v>47.683500000000002</v>
      </c>
      <c r="I50" s="41">
        <f t="shared" si="0"/>
        <v>-63.581480000000006</v>
      </c>
      <c r="J50" s="114">
        <f t="shared" si="1"/>
        <v>-47.683500000000002</v>
      </c>
      <c r="K50" s="2" t="s">
        <v>38</v>
      </c>
    </row>
    <row r="51" spans="1:11">
      <c r="A51" s="110" t="s">
        <v>555</v>
      </c>
      <c r="B51" s="111" t="s">
        <v>556</v>
      </c>
      <c r="C51" s="112">
        <v>0</v>
      </c>
      <c r="D51" s="112">
        <v>12.656319999999999</v>
      </c>
      <c r="E51" s="112">
        <v>4906.7197800000004</v>
      </c>
      <c r="F51" s="112">
        <v>4911.9622800000006</v>
      </c>
      <c r="G51" s="112">
        <v>0</v>
      </c>
      <c r="H51" s="113">
        <v>17.898820000000001</v>
      </c>
      <c r="I51" s="41">
        <f t="shared" si="0"/>
        <v>-12.656319999999999</v>
      </c>
      <c r="J51" s="114">
        <f t="shared" si="1"/>
        <v>-17.898820000000001</v>
      </c>
      <c r="K51" s="2" t="s">
        <v>38</v>
      </c>
    </row>
    <row r="52" spans="1:11">
      <c r="A52" s="110" t="s">
        <v>557</v>
      </c>
      <c r="B52" s="111" t="s">
        <v>558</v>
      </c>
      <c r="C52" s="112">
        <v>0</v>
      </c>
      <c r="D52" s="112">
        <v>1157.2470000000001</v>
      </c>
      <c r="E52" s="112">
        <v>2296.85484</v>
      </c>
      <c r="F52" s="112">
        <v>3372.8440000000001</v>
      </c>
      <c r="G52" s="112">
        <v>0</v>
      </c>
      <c r="H52" s="113">
        <v>2233.2361599999999</v>
      </c>
      <c r="I52" s="41">
        <f t="shared" si="0"/>
        <v>-1157.2470000000001</v>
      </c>
      <c r="J52" s="114">
        <f t="shared" si="1"/>
        <v>-2233.2361599999999</v>
      </c>
      <c r="K52" s="2" t="s">
        <v>38</v>
      </c>
    </row>
    <row r="53" spans="1:11">
      <c r="A53" s="110" t="s">
        <v>559</v>
      </c>
      <c r="B53" s="111" t="s">
        <v>560</v>
      </c>
      <c r="C53" s="112">
        <v>0</v>
      </c>
      <c r="D53" s="112">
        <v>24</v>
      </c>
      <c r="E53" s="112">
        <v>2976.6680000000001</v>
      </c>
      <c r="F53" s="112">
        <v>3295.6979999999999</v>
      </c>
      <c r="G53" s="112">
        <v>0</v>
      </c>
      <c r="H53" s="113">
        <v>343.03</v>
      </c>
      <c r="I53" s="41">
        <f t="shared" si="0"/>
        <v>-24</v>
      </c>
      <c r="J53" s="114">
        <f t="shared" si="1"/>
        <v>-343.03</v>
      </c>
      <c r="K53" s="2" t="s">
        <v>38</v>
      </c>
    </row>
    <row r="54" spans="1:11">
      <c r="A54" s="110" t="s">
        <v>561</v>
      </c>
      <c r="B54" s="111" t="s">
        <v>562</v>
      </c>
      <c r="C54" s="112">
        <v>0</v>
      </c>
      <c r="D54" s="112">
        <v>72832</v>
      </c>
      <c r="E54" s="112">
        <v>0</v>
      </c>
      <c r="F54" s="112">
        <v>0</v>
      </c>
      <c r="G54" s="112">
        <v>0</v>
      </c>
      <c r="H54" s="113">
        <v>72832</v>
      </c>
      <c r="I54" s="41">
        <f t="shared" si="0"/>
        <v>-72832</v>
      </c>
      <c r="J54" s="114">
        <f t="shared" si="1"/>
        <v>-72832</v>
      </c>
      <c r="K54" s="2" t="s">
        <v>28</v>
      </c>
    </row>
    <row r="55" spans="1:11">
      <c r="A55" s="110" t="s">
        <v>563</v>
      </c>
      <c r="B55" s="111" t="s">
        <v>564</v>
      </c>
      <c r="C55" s="112">
        <v>0</v>
      </c>
      <c r="D55" s="112">
        <v>19550.473859999998</v>
      </c>
      <c r="E55" s="112">
        <v>20894.929459999999</v>
      </c>
      <c r="F55" s="112">
        <v>11825.2004</v>
      </c>
      <c r="G55" s="112">
        <v>0</v>
      </c>
      <c r="H55" s="113">
        <v>10480.7448</v>
      </c>
      <c r="I55" s="41">
        <f t="shared" si="0"/>
        <v>-19550.473859999998</v>
      </c>
      <c r="J55" s="114">
        <f t="shared" si="1"/>
        <v>-10480.7448</v>
      </c>
      <c r="K55" s="2" t="s">
        <v>29</v>
      </c>
    </row>
    <row r="56" spans="1:11">
      <c r="A56" s="110" t="s">
        <v>565</v>
      </c>
      <c r="B56" s="111" t="s">
        <v>566</v>
      </c>
      <c r="C56" s="112">
        <v>0</v>
      </c>
      <c r="D56" s="112">
        <v>-20897.230609999999</v>
      </c>
      <c r="E56" s="112">
        <v>0</v>
      </c>
      <c r="F56" s="112">
        <v>20897.230609999999</v>
      </c>
      <c r="G56" s="112">
        <v>0</v>
      </c>
      <c r="H56" s="113">
        <v>0</v>
      </c>
      <c r="I56" s="41">
        <f t="shared" si="0"/>
        <v>20897.230609999999</v>
      </c>
      <c r="J56" s="114">
        <f t="shared" si="1"/>
        <v>0</v>
      </c>
      <c r="K56" s="2" t="s">
        <v>29</v>
      </c>
    </row>
    <row r="57" spans="1:11">
      <c r="A57" s="110" t="s">
        <v>567</v>
      </c>
      <c r="B57" s="111" t="s">
        <v>568</v>
      </c>
      <c r="C57" s="112">
        <v>0</v>
      </c>
      <c r="D57" s="112">
        <v>0</v>
      </c>
      <c r="E57" s="112">
        <v>128306.64048999999</v>
      </c>
      <c r="F57" s="112">
        <v>128306.64048999999</v>
      </c>
      <c r="G57" s="112">
        <v>0</v>
      </c>
      <c r="H57" s="112">
        <v>0</v>
      </c>
      <c r="I57" s="41">
        <f t="shared" si="0"/>
        <v>0</v>
      </c>
      <c r="J57" s="114">
        <f t="shared" si="1"/>
        <v>0</v>
      </c>
    </row>
    <row r="58" spans="1:11">
      <c r="A58" s="110" t="s">
        <v>569</v>
      </c>
      <c r="B58" s="111" t="s">
        <v>570</v>
      </c>
      <c r="C58" s="112">
        <v>0</v>
      </c>
      <c r="D58" s="112">
        <v>0</v>
      </c>
      <c r="E58" s="112">
        <v>128304.84048999999</v>
      </c>
      <c r="F58" s="112">
        <v>128304.84048999999</v>
      </c>
      <c r="G58" s="112">
        <v>0</v>
      </c>
      <c r="H58" s="112">
        <v>0</v>
      </c>
      <c r="I58" s="41">
        <f t="shared" si="0"/>
        <v>0</v>
      </c>
      <c r="J58" s="114">
        <f t="shared" si="1"/>
        <v>0</v>
      </c>
    </row>
    <row r="59" spans="1:11">
      <c r="A59" s="110" t="s">
        <v>571</v>
      </c>
      <c r="B59" s="111" t="s">
        <v>572</v>
      </c>
      <c r="C59" s="112">
        <v>0</v>
      </c>
      <c r="D59" s="112">
        <v>0</v>
      </c>
      <c r="E59" s="112">
        <v>1.8</v>
      </c>
      <c r="F59" s="112">
        <v>1.8</v>
      </c>
      <c r="G59" s="112">
        <v>0</v>
      </c>
      <c r="H59" s="112">
        <v>0</v>
      </c>
      <c r="I59" s="41">
        <f t="shared" si="0"/>
        <v>0</v>
      </c>
      <c r="J59" s="114">
        <f t="shared" si="1"/>
        <v>0</v>
      </c>
    </row>
    <row r="60" spans="1:11">
      <c r="A60" s="110" t="s">
        <v>573</v>
      </c>
      <c r="B60" s="111" t="s">
        <v>574</v>
      </c>
      <c r="C60" s="112">
        <v>0</v>
      </c>
      <c r="D60" s="112">
        <v>0</v>
      </c>
      <c r="E60" s="112">
        <v>83216.234939999995</v>
      </c>
      <c r="F60" s="112">
        <v>83216.234939999995</v>
      </c>
      <c r="G60" s="112">
        <v>0</v>
      </c>
      <c r="H60" s="112">
        <v>0</v>
      </c>
      <c r="I60" s="41">
        <f t="shared" si="0"/>
        <v>0</v>
      </c>
      <c r="J60" s="114">
        <f t="shared" si="1"/>
        <v>0</v>
      </c>
    </row>
    <row r="61" spans="1:11">
      <c r="A61" s="110" t="s">
        <v>575</v>
      </c>
      <c r="B61" s="111" t="s">
        <v>576</v>
      </c>
      <c r="C61" s="112">
        <v>0</v>
      </c>
      <c r="D61" s="112">
        <v>0</v>
      </c>
      <c r="E61" s="112">
        <v>33313.03153</v>
      </c>
      <c r="F61" s="112">
        <v>33313.03153</v>
      </c>
      <c r="G61" s="112">
        <v>0</v>
      </c>
      <c r="H61" s="112">
        <v>0</v>
      </c>
      <c r="I61" s="41">
        <f t="shared" si="0"/>
        <v>0</v>
      </c>
      <c r="J61" s="114">
        <f t="shared" si="1"/>
        <v>0</v>
      </c>
    </row>
    <row r="62" spans="1:11">
      <c r="A62" s="110" t="s">
        <v>577</v>
      </c>
      <c r="B62" s="111" t="s">
        <v>578</v>
      </c>
      <c r="C62" s="112">
        <v>0</v>
      </c>
      <c r="D62" s="112">
        <v>0</v>
      </c>
      <c r="E62" s="112">
        <v>33006.148959999999</v>
      </c>
      <c r="F62" s="112">
        <v>33006.148959999999</v>
      </c>
      <c r="G62" s="112">
        <v>0</v>
      </c>
      <c r="H62" s="112">
        <v>0</v>
      </c>
      <c r="I62" s="41">
        <f t="shared" si="0"/>
        <v>0</v>
      </c>
      <c r="J62" s="114">
        <f t="shared" si="1"/>
        <v>0</v>
      </c>
    </row>
    <row r="63" spans="1:11">
      <c r="A63" s="110" t="s">
        <v>579</v>
      </c>
      <c r="B63" s="111" t="s">
        <v>580</v>
      </c>
      <c r="C63" s="112">
        <v>0</v>
      </c>
      <c r="D63" s="112">
        <v>0</v>
      </c>
      <c r="E63" s="112">
        <v>306.88256999999999</v>
      </c>
      <c r="F63" s="112">
        <v>306.88256999999999</v>
      </c>
      <c r="G63" s="112">
        <v>0</v>
      </c>
      <c r="H63" s="112">
        <v>0</v>
      </c>
      <c r="I63" s="41">
        <f t="shared" si="0"/>
        <v>0</v>
      </c>
      <c r="J63" s="114">
        <f t="shared" si="1"/>
        <v>0</v>
      </c>
    </row>
    <row r="64" spans="1:11">
      <c r="A64" s="110" t="s">
        <v>581</v>
      </c>
      <c r="B64" s="111" t="s">
        <v>582</v>
      </c>
      <c r="C64" s="112">
        <v>0</v>
      </c>
      <c r="D64" s="112">
        <v>0</v>
      </c>
      <c r="E64" s="112">
        <v>249.13757999999999</v>
      </c>
      <c r="F64" s="112">
        <v>249.13757999999999</v>
      </c>
      <c r="G64" s="112">
        <v>0</v>
      </c>
      <c r="H64" s="112">
        <v>0</v>
      </c>
      <c r="I64" s="41">
        <f t="shared" si="0"/>
        <v>0</v>
      </c>
      <c r="J64" s="114">
        <f t="shared" si="1"/>
        <v>0</v>
      </c>
    </row>
    <row r="65" spans="1:11">
      <c r="A65" s="110" t="s">
        <v>583</v>
      </c>
      <c r="B65" s="111" t="s">
        <v>584</v>
      </c>
      <c r="C65" s="112">
        <v>0</v>
      </c>
      <c r="D65" s="112">
        <v>0</v>
      </c>
      <c r="E65" s="112">
        <v>-323.05162000000001</v>
      </c>
      <c r="F65" s="112">
        <v>-323.05162000000001</v>
      </c>
      <c r="G65" s="112">
        <v>0</v>
      </c>
      <c r="H65" s="112">
        <v>0</v>
      </c>
      <c r="I65" s="41">
        <f t="shared" ref="I65:I78" si="2">C65-D65</f>
        <v>0</v>
      </c>
      <c r="J65" s="114">
        <f t="shared" ref="J65:J78" si="3">G65-H65</f>
        <v>0</v>
      </c>
    </row>
    <row r="66" spans="1:11">
      <c r="A66" s="110" t="s">
        <v>585</v>
      </c>
      <c r="B66" s="111" t="s">
        <v>586</v>
      </c>
      <c r="C66" s="112">
        <v>0</v>
      </c>
      <c r="D66" s="112">
        <v>0</v>
      </c>
      <c r="E66" s="112">
        <v>125786.83323999999</v>
      </c>
      <c r="F66" s="112">
        <v>125786.83323999999</v>
      </c>
      <c r="G66" s="112">
        <v>0</v>
      </c>
      <c r="H66" s="112">
        <v>0</v>
      </c>
      <c r="I66" s="41">
        <f t="shared" si="2"/>
        <v>0</v>
      </c>
      <c r="J66" s="114">
        <f t="shared" si="3"/>
        <v>0</v>
      </c>
    </row>
    <row r="67" spans="1:11">
      <c r="A67" s="110" t="s">
        <v>587</v>
      </c>
      <c r="B67" s="111" t="s">
        <v>586</v>
      </c>
      <c r="C67" s="112">
        <v>0</v>
      </c>
      <c r="D67" s="112">
        <v>0</v>
      </c>
      <c r="E67" s="112">
        <v>83216.234939999995</v>
      </c>
      <c r="F67" s="112">
        <v>83216.234939999995</v>
      </c>
      <c r="G67" s="112">
        <v>0</v>
      </c>
      <c r="H67" s="112">
        <v>0</v>
      </c>
      <c r="I67" s="41">
        <f t="shared" si="2"/>
        <v>0</v>
      </c>
      <c r="J67" s="114">
        <f t="shared" si="3"/>
        <v>0</v>
      </c>
    </row>
    <row r="68" spans="1:11">
      <c r="A68" s="110" t="s">
        <v>588</v>
      </c>
      <c r="B68" s="111" t="s">
        <v>589</v>
      </c>
      <c r="C68" s="112">
        <v>0</v>
      </c>
      <c r="D68" s="112">
        <v>0</v>
      </c>
      <c r="E68" s="112">
        <v>7536.7624599999999</v>
      </c>
      <c r="F68" s="112">
        <v>7536.7624599999999</v>
      </c>
      <c r="G68" s="112">
        <v>0</v>
      </c>
      <c r="H68" s="112">
        <v>0</v>
      </c>
      <c r="I68" s="41">
        <f t="shared" si="2"/>
        <v>0</v>
      </c>
      <c r="J68" s="114">
        <f t="shared" si="3"/>
        <v>0</v>
      </c>
    </row>
    <row r="69" spans="1:11">
      <c r="A69" s="110" t="s">
        <v>590</v>
      </c>
      <c r="B69" s="111" t="s">
        <v>591</v>
      </c>
      <c r="C69" s="112">
        <v>0</v>
      </c>
      <c r="D69" s="112">
        <v>0</v>
      </c>
      <c r="E69" s="112">
        <v>24727.901239999999</v>
      </c>
      <c r="F69" s="112">
        <v>24727.901239999999</v>
      </c>
      <c r="G69" s="112">
        <v>0</v>
      </c>
      <c r="H69" s="112">
        <v>0</v>
      </c>
      <c r="I69" s="41">
        <f t="shared" si="2"/>
        <v>0</v>
      </c>
      <c r="J69" s="114">
        <f t="shared" si="3"/>
        <v>0</v>
      </c>
    </row>
    <row r="70" spans="1:11">
      <c r="A70" s="110" t="s">
        <v>592</v>
      </c>
      <c r="B70" s="111" t="s">
        <v>593</v>
      </c>
      <c r="C70" s="112">
        <v>0</v>
      </c>
      <c r="D70" s="112">
        <v>0</v>
      </c>
      <c r="E70" s="112">
        <v>2579.08266</v>
      </c>
      <c r="F70" s="112">
        <v>2579.08266</v>
      </c>
      <c r="G70" s="112">
        <v>0</v>
      </c>
      <c r="H70" s="112">
        <v>0</v>
      </c>
      <c r="I70" s="41">
        <f t="shared" si="2"/>
        <v>0</v>
      </c>
      <c r="J70" s="114">
        <f t="shared" si="3"/>
        <v>0</v>
      </c>
    </row>
    <row r="71" spans="1:11">
      <c r="A71" s="110" t="s">
        <v>594</v>
      </c>
      <c r="B71" s="111" t="s">
        <v>595</v>
      </c>
      <c r="C71" s="112">
        <v>0</v>
      </c>
      <c r="D71" s="112">
        <v>0</v>
      </c>
      <c r="E71" s="112">
        <v>7726.8519400000005</v>
      </c>
      <c r="F71" s="112">
        <v>7726.8519400000005</v>
      </c>
      <c r="G71" s="112">
        <v>0</v>
      </c>
      <c r="H71" s="112">
        <v>0</v>
      </c>
      <c r="I71" s="41">
        <f t="shared" si="2"/>
        <v>0</v>
      </c>
      <c r="J71" s="114">
        <f t="shared" si="3"/>
        <v>0</v>
      </c>
    </row>
    <row r="72" spans="1:11">
      <c r="A72" s="110" t="s">
        <v>596</v>
      </c>
      <c r="B72" s="111" t="s">
        <v>597</v>
      </c>
      <c r="C72" s="112">
        <v>0</v>
      </c>
      <c r="D72" s="112">
        <v>0</v>
      </c>
      <c r="E72" s="112">
        <v>1572.03043</v>
      </c>
      <c r="F72" s="112">
        <v>1572.03043</v>
      </c>
      <c r="G72" s="112">
        <v>0</v>
      </c>
      <c r="H72" s="112">
        <v>0</v>
      </c>
      <c r="I72" s="41">
        <f t="shared" si="2"/>
        <v>0</v>
      </c>
      <c r="J72" s="114">
        <f t="shared" si="3"/>
        <v>0</v>
      </c>
    </row>
    <row r="73" spans="1:11">
      <c r="A73" s="110" t="s">
        <v>598</v>
      </c>
      <c r="B73" s="111" t="s">
        <v>597</v>
      </c>
      <c r="C73" s="112">
        <v>0</v>
      </c>
      <c r="D73" s="112">
        <v>0</v>
      </c>
      <c r="E73" s="112">
        <v>1340.1655900000001</v>
      </c>
      <c r="F73" s="112">
        <v>1340.1655900000001</v>
      </c>
      <c r="G73" s="112">
        <v>0</v>
      </c>
      <c r="H73" s="112">
        <v>0</v>
      </c>
      <c r="I73" s="41">
        <f t="shared" si="2"/>
        <v>0</v>
      </c>
      <c r="J73" s="114">
        <f t="shared" si="3"/>
        <v>0</v>
      </c>
    </row>
    <row r="74" spans="1:11">
      <c r="A74" s="110" t="s">
        <v>599</v>
      </c>
      <c r="B74" s="111" t="s">
        <v>595</v>
      </c>
      <c r="C74" s="112">
        <v>0</v>
      </c>
      <c r="D74" s="112">
        <v>0</v>
      </c>
      <c r="E74" s="112">
        <v>231.86483999999999</v>
      </c>
      <c r="F74" s="112">
        <v>231.86483999999999</v>
      </c>
      <c r="G74" s="112">
        <v>0</v>
      </c>
      <c r="H74" s="112">
        <v>0</v>
      </c>
      <c r="I74" s="41">
        <f t="shared" si="2"/>
        <v>0</v>
      </c>
      <c r="J74" s="114">
        <f t="shared" si="3"/>
        <v>0</v>
      </c>
    </row>
    <row r="75" spans="1:11">
      <c r="A75" s="110" t="s">
        <v>600</v>
      </c>
      <c r="B75" s="111" t="s">
        <v>595</v>
      </c>
      <c r="C75" s="112">
        <v>0</v>
      </c>
      <c r="D75" s="112">
        <v>0</v>
      </c>
      <c r="E75" s="112">
        <v>14992.729300000001</v>
      </c>
      <c r="F75" s="112">
        <v>14992.729300000001</v>
      </c>
      <c r="G75" s="112">
        <v>0</v>
      </c>
      <c r="H75" s="112">
        <v>0</v>
      </c>
      <c r="I75" s="41">
        <f t="shared" si="2"/>
        <v>0</v>
      </c>
      <c r="J75" s="114">
        <f t="shared" si="3"/>
        <v>0</v>
      </c>
    </row>
    <row r="76" spans="1:11">
      <c r="A76" s="110" t="s">
        <v>601</v>
      </c>
      <c r="B76" s="111" t="s">
        <v>595</v>
      </c>
      <c r="C76" s="112">
        <v>0</v>
      </c>
      <c r="D76" s="112">
        <v>0</v>
      </c>
      <c r="E76" s="112">
        <v>7496.3646500000004</v>
      </c>
      <c r="F76" s="112">
        <v>7496.3646500000004</v>
      </c>
      <c r="G76" s="112">
        <v>0</v>
      </c>
      <c r="H76" s="112">
        <v>0</v>
      </c>
      <c r="I76" s="41">
        <f t="shared" si="2"/>
        <v>0</v>
      </c>
      <c r="J76" s="114">
        <f t="shared" si="3"/>
        <v>0</v>
      </c>
    </row>
    <row r="77" spans="1:11" ht="13.5" thickBot="1">
      <c r="A77" s="110" t="s">
        <v>602</v>
      </c>
      <c r="B77" s="111" t="s">
        <v>603</v>
      </c>
      <c r="C77" s="112">
        <v>0</v>
      </c>
      <c r="D77" s="112">
        <v>0</v>
      </c>
      <c r="E77" s="112">
        <v>7496.3646500000004</v>
      </c>
      <c r="F77" s="112">
        <v>7496.3646500000004</v>
      </c>
      <c r="G77" s="112">
        <v>0</v>
      </c>
      <c r="H77" s="112">
        <v>0</v>
      </c>
      <c r="I77" s="41">
        <f t="shared" si="2"/>
        <v>0</v>
      </c>
      <c r="J77" s="114">
        <f t="shared" si="3"/>
        <v>0</v>
      </c>
    </row>
    <row r="78" spans="1:11" ht="13.5" thickBot="1">
      <c r="A78" s="115"/>
      <c r="B78" s="116"/>
      <c r="C78" s="117">
        <v>322609.35930000001</v>
      </c>
      <c r="D78" s="117">
        <v>322609.35930000001</v>
      </c>
      <c r="E78" s="117">
        <v>1182316.50984</v>
      </c>
      <c r="F78" s="117">
        <v>1182316.50984</v>
      </c>
      <c r="G78" s="117">
        <v>345947.11947000003</v>
      </c>
      <c r="H78" s="118">
        <v>345947.11947000003</v>
      </c>
      <c r="I78" s="41">
        <f t="shared" si="2"/>
        <v>0</v>
      </c>
      <c r="J78" s="114">
        <f t="shared" si="3"/>
        <v>0</v>
      </c>
    </row>
    <row r="80" spans="1:11">
      <c r="I80" s="41"/>
      <c r="J80" s="41"/>
      <c r="K80" s="41"/>
    </row>
    <row r="81" spans="1:7" ht="15.75">
      <c r="A81" s="306" t="s">
        <v>2101</v>
      </c>
      <c r="B81" s="307"/>
      <c r="C81" s="307"/>
      <c r="D81" s="307"/>
      <c r="E81" s="307"/>
      <c r="F81" s="145"/>
    </row>
    <row r="82" spans="1:7" ht="16.5" thickBot="1">
      <c r="A82" s="308" t="s">
        <v>462</v>
      </c>
      <c r="B82" s="309"/>
      <c r="C82" s="310"/>
      <c r="D82" s="310"/>
      <c r="E82" s="310"/>
      <c r="F82" s="311"/>
    </row>
    <row r="83" spans="1:7" ht="15">
      <c r="A83" s="312" t="s">
        <v>342</v>
      </c>
      <c r="B83" s="313" t="s">
        <v>2102</v>
      </c>
      <c r="C83" s="314" t="s">
        <v>2103</v>
      </c>
      <c r="D83" s="313" t="s">
        <v>2102</v>
      </c>
      <c r="E83" s="315" t="s">
        <v>2103</v>
      </c>
      <c r="F83" s="145"/>
    </row>
    <row r="84" spans="1:7" ht="15.75" thickBot="1">
      <c r="A84" s="316"/>
      <c r="B84" s="317"/>
      <c r="C84" s="318"/>
      <c r="D84" s="319" t="s">
        <v>2104</v>
      </c>
      <c r="E84" s="320" t="s">
        <v>2104</v>
      </c>
      <c r="F84" s="145"/>
    </row>
    <row r="85" spans="1:7" ht="15">
      <c r="A85" s="321" t="s">
        <v>51</v>
      </c>
      <c r="B85" s="322" t="s">
        <v>461</v>
      </c>
      <c r="C85" s="323" t="s">
        <v>461</v>
      </c>
      <c r="D85" s="322" t="s">
        <v>461</v>
      </c>
      <c r="E85" s="324" t="s">
        <v>461</v>
      </c>
      <c r="F85" s="145"/>
    </row>
    <row r="86" spans="1:7" ht="15">
      <c r="A86" s="325" t="s">
        <v>534</v>
      </c>
      <c r="B86" s="326">
        <v>26.08766</v>
      </c>
      <c r="C86" s="327" t="s">
        <v>461</v>
      </c>
      <c r="D86" s="328" t="s">
        <v>461</v>
      </c>
      <c r="E86" s="329" t="s">
        <v>461</v>
      </c>
      <c r="F86" s="145"/>
    </row>
    <row r="87" spans="1:7" ht="15">
      <c r="A87" s="325" t="s">
        <v>563</v>
      </c>
      <c r="B87" s="326">
        <v>11825.2004</v>
      </c>
      <c r="C87" s="327" t="s">
        <v>461</v>
      </c>
      <c r="D87" s="328" t="s">
        <v>461</v>
      </c>
      <c r="E87" s="329" t="s">
        <v>461</v>
      </c>
      <c r="F87" s="145"/>
    </row>
    <row r="88" spans="1:7" ht="15">
      <c r="A88" s="325" t="s">
        <v>569</v>
      </c>
      <c r="B88" s="328" t="s">
        <v>461</v>
      </c>
      <c r="C88" s="330">
        <v>128304.84048999999</v>
      </c>
      <c r="D88" s="328" t="s">
        <v>461</v>
      </c>
      <c r="E88" s="329" t="s">
        <v>461</v>
      </c>
      <c r="F88" s="331">
        <f>-C88</f>
        <v>-128304.84048999999</v>
      </c>
      <c r="G88" s="2" t="s">
        <v>347</v>
      </c>
    </row>
    <row r="89" spans="1:7" ht="15">
      <c r="A89" s="325" t="s">
        <v>571</v>
      </c>
      <c r="B89" s="328" t="s">
        <v>461</v>
      </c>
      <c r="C89" s="330">
        <v>1.8</v>
      </c>
      <c r="D89" s="328" t="s">
        <v>461</v>
      </c>
      <c r="E89" s="329" t="s">
        <v>461</v>
      </c>
      <c r="F89" s="331">
        <f>-C89</f>
        <v>-1.8</v>
      </c>
      <c r="G89" s="2" t="s">
        <v>352</v>
      </c>
    </row>
    <row r="90" spans="1:7" ht="15">
      <c r="A90" s="325" t="s">
        <v>573</v>
      </c>
      <c r="B90" s="326">
        <v>83216.234939999995</v>
      </c>
      <c r="C90" s="327" t="s">
        <v>461</v>
      </c>
      <c r="D90" s="328" t="s">
        <v>461</v>
      </c>
      <c r="E90" s="329" t="s">
        <v>461</v>
      </c>
      <c r="F90" s="331">
        <f>B90</f>
        <v>83216.234939999995</v>
      </c>
      <c r="G90" s="2" t="s">
        <v>348</v>
      </c>
    </row>
    <row r="91" spans="1:7" ht="15">
      <c r="A91" s="325" t="s">
        <v>575</v>
      </c>
      <c r="B91" s="326"/>
      <c r="C91" s="327" t="s">
        <v>461</v>
      </c>
      <c r="D91" s="328" t="s">
        <v>461</v>
      </c>
      <c r="E91" s="329" t="s">
        <v>461</v>
      </c>
      <c r="F91" s="331">
        <f t="shared" ref="F91:F95" si="4">B91</f>
        <v>0</v>
      </c>
    </row>
    <row r="92" spans="1:7" ht="15">
      <c r="A92" s="325" t="s">
        <v>577</v>
      </c>
      <c r="B92" s="326">
        <v>33006.148959999999</v>
      </c>
      <c r="C92" s="327" t="s">
        <v>461</v>
      </c>
      <c r="D92" s="328" t="s">
        <v>461</v>
      </c>
      <c r="E92" s="329" t="s">
        <v>461</v>
      </c>
      <c r="F92" s="331">
        <f t="shared" si="4"/>
        <v>33006.148959999999</v>
      </c>
      <c r="G92" s="2" t="s">
        <v>351</v>
      </c>
    </row>
    <row r="93" spans="1:7" ht="15">
      <c r="A93" s="325" t="s">
        <v>579</v>
      </c>
      <c r="B93" s="326">
        <v>306.88256999999999</v>
      </c>
      <c r="C93" s="327" t="s">
        <v>461</v>
      </c>
      <c r="D93" s="328" t="s">
        <v>461</v>
      </c>
      <c r="E93" s="329" t="s">
        <v>461</v>
      </c>
      <c r="F93" s="331">
        <f t="shared" si="4"/>
        <v>306.88256999999999</v>
      </c>
      <c r="G93" s="2" t="s">
        <v>351</v>
      </c>
    </row>
    <row r="94" spans="1:7" ht="15">
      <c r="A94" s="325" t="s">
        <v>581</v>
      </c>
      <c r="B94" s="326">
        <v>249.13757999999999</v>
      </c>
      <c r="C94" s="327" t="s">
        <v>461</v>
      </c>
      <c r="D94" s="328" t="s">
        <v>461</v>
      </c>
      <c r="E94" s="329" t="s">
        <v>461</v>
      </c>
      <c r="F94" s="331">
        <f t="shared" si="4"/>
        <v>249.13757999999999</v>
      </c>
      <c r="G94" s="2" t="s">
        <v>353</v>
      </c>
    </row>
    <row r="95" spans="1:7" ht="15">
      <c r="A95" s="325" t="s">
        <v>583</v>
      </c>
      <c r="B95" s="326">
        <v>-323.05162000000001</v>
      </c>
      <c r="C95" s="327" t="s">
        <v>461</v>
      </c>
      <c r="D95" s="328" t="s">
        <v>461</v>
      </c>
      <c r="E95" s="329" t="s">
        <v>461</v>
      </c>
      <c r="F95" s="331">
        <f t="shared" si="4"/>
        <v>-323.05162000000001</v>
      </c>
      <c r="G95" s="2" t="s">
        <v>353</v>
      </c>
    </row>
    <row r="96" spans="1:7" ht="15">
      <c r="A96" s="332" t="s">
        <v>52</v>
      </c>
      <c r="B96" s="333">
        <v>128306.64048999999</v>
      </c>
      <c r="C96" s="334">
        <v>128306.64048999999</v>
      </c>
      <c r="D96" s="335" t="s">
        <v>461</v>
      </c>
      <c r="E96" s="336" t="s">
        <v>461</v>
      </c>
      <c r="F96" s="331">
        <f>SUM(F88:F95)</f>
        <v>-11851.288059999997</v>
      </c>
    </row>
    <row r="97" spans="1:6" ht="15.75" thickBot="1">
      <c r="A97" s="337" t="s">
        <v>53</v>
      </c>
      <c r="B97" s="338" t="s">
        <v>461</v>
      </c>
      <c r="C97" s="339" t="s">
        <v>461</v>
      </c>
      <c r="D97" s="338" t="s">
        <v>461</v>
      </c>
      <c r="E97" s="340" t="s">
        <v>461</v>
      </c>
      <c r="F97" s="145"/>
    </row>
    <row r="98" spans="1:6" ht="15">
      <c r="A98" s="145"/>
      <c r="B98" s="145"/>
      <c r="C98" s="145"/>
      <c r="D98" s="145"/>
      <c r="E98" s="145"/>
      <c r="F98" s="341"/>
    </row>
    <row r="99" spans="1:6" ht="15">
      <c r="A99" s="145"/>
      <c r="B99" s="145"/>
      <c r="C99" s="145">
        <v>1000</v>
      </c>
      <c r="D99" s="145"/>
      <c r="E99" s="145"/>
      <c r="F99" s="145"/>
    </row>
  </sheetData>
  <pageMargins left="0.7" right="0.7" top="0.75" bottom="0.75" header="0.3" footer="0.3"/>
  <pageSetup paperSize="9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A19" zoomScale="80" zoomScaleNormal="80" workbookViewId="0">
      <selection activeCell="C368" sqref="C368"/>
    </sheetView>
  </sheetViews>
  <sheetFormatPr defaultColWidth="8.7109375" defaultRowHeight="12.75"/>
  <cols>
    <col min="1" max="1" width="29.85546875" style="2" customWidth="1"/>
    <col min="2" max="2" width="12.85546875" style="2" bestFit="1" customWidth="1"/>
    <col min="3" max="3" width="11.28515625" style="2" customWidth="1"/>
    <col min="4" max="4" width="14" style="2" customWidth="1"/>
    <col min="5" max="5" width="14.42578125" style="2" customWidth="1"/>
    <col min="6" max="6" width="15.5703125" style="2" customWidth="1"/>
    <col min="7" max="7" width="16.7109375" style="2" customWidth="1"/>
    <col min="8" max="8" width="17.7109375" style="2" customWidth="1"/>
    <col min="9" max="9" width="13.140625" style="2" bestFit="1" customWidth="1"/>
    <col min="10" max="10" width="12.42578125" style="2" bestFit="1" customWidth="1"/>
    <col min="11" max="11" width="8.7109375" style="2"/>
    <col min="12" max="13" width="14.140625" style="2" customWidth="1"/>
    <col min="14" max="14" width="8.7109375" style="2"/>
    <col min="15" max="15" width="9.140625" style="2" bestFit="1" customWidth="1"/>
    <col min="16" max="16" width="8.7109375" style="2"/>
    <col min="17" max="17" width="9.5703125" style="2" bestFit="1" customWidth="1"/>
    <col min="18" max="18" width="11.42578125" style="2" bestFit="1" customWidth="1"/>
    <col min="19" max="19" width="11.140625" style="2" bestFit="1" customWidth="1"/>
    <col min="20" max="21" width="10.5703125" style="2" bestFit="1" customWidth="1"/>
    <col min="22" max="22" width="17.42578125" style="2" customWidth="1"/>
    <col min="23" max="23" width="8.7109375" style="2"/>
    <col min="24" max="24" width="11.42578125" style="2" bestFit="1" customWidth="1"/>
    <col min="25" max="27" width="8.7109375" style="2"/>
    <col min="28" max="28" width="12.42578125" style="2" bestFit="1" customWidth="1"/>
    <col min="29" max="16384" width="8.7109375" style="2"/>
  </cols>
  <sheetData>
    <row r="1" spans="1:23" s="582" customFormat="1" ht="39" thickBot="1">
      <c r="A1" s="567" t="s">
        <v>2520</v>
      </c>
      <c r="B1" s="644" t="s">
        <v>2521</v>
      </c>
      <c r="C1" s="644" t="s">
        <v>2522</v>
      </c>
      <c r="D1" s="645" t="s">
        <v>2523</v>
      </c>
      <c r="E1" s="645" t="s">
        <v>2524</v>
      </c>
      <c r="F1" s="645" t="s">
        <v>2945</v>
      </c>
      <c r="G1" s="645" t="s">
        <v>2944</v>
      </c>
    </row>
    <row r="2" spans="1:23">
      <c r="A2" s="569" t="s">
        <v>461</v>
      </c>
      <c r="B2" s="570"/>
      <c r="C2" s="570"/>
      <c r="D2" s="570"/>
      <c r="E2" s="570"/>
      <c r="F2" s="570"/>
      <c r="G2" s="570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</row>
    <row r="3" spans="1:23">
      <c r="A3" s="569" t="s">
        <v>2525</v>
      </c>
      <c r="B3" s="570"/>
      <c r="C3" s="570"/>
      <c r="D3" s="570"/>
      <c r="E3" s="570"/>
      <c r="F3" s="570"/>
      <c r="G3" s="570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</row>
    <row r="4" spans="1:23">
      <c r="A4" s="569" t="s">
        <v>2526</v>
      </c>
      <c r="B4" s="572"/>
      <c r="C4" s="572"/>
      <c r="D4" s="572"/>
      <c r="E4" s="572"/>
      <c r="F4" s="572"/>
      <c r="G4" s="572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</row>
    <row r="5" spans="1:23">
      <c r="A5" s="572" t="s">
        <v>2527</v>
      </c>
      <c r="B5" s="578">
        <v>38794514</v>
      </c>
      <c r="C5" s="578">
        <v>0</v>
      </c>
      <c r="D5" s="578">
        <v>83217</v>
      </c>
      <c r="E5" s="578">
        <f>SUM(B5:D5)</f>
        <v>38877731</v>
      </c>
      <c r="F5" s="578">
        <v>0</v>
      </c>
      <c r="G5" s="578">
        <f>SUM(E5:F5)</f>
        <v>38877731</v>
      </c>
      <c r="H5" s="41">
        <f>'24'!F9-G5</f>
        <v>14727729</v>
      </c>
      <c r="I5" s="693"/>
      <c r="J5" s="693"/>
      <c r="K5" s="693"/>
      <c r="L5" s="693"/>
      <c r="M5" s="693"/>
      <c r="N5" s="693"/>
      <c r="O5" s="693"/>
      <c r="P5" s="68"/>
      <c r="Q5" s="68"/>
      <c r="R5" s="68"/>
      <c r="S5" s="68"/>
      <c r="T5" s="68"/>
      <c r="U5" s="68"/>
      <c r="V5" s="673"/>
    </row>
    <row r="6" spans="1:23">
      <c r="A6" s="572" t="s">
        <v>572</v>
      </c>
      <c r="B6" s="578">
        <v>0</v>
      </c>
      <c r="C6" s="578">
        <v>41222</v>
      </c>
      <c r="D6" s="578">
        <v>0</v>
      </c>
      <c r="E6" s="578">
        <f t="shared" ref="E6:E7" si="0">SUM(B6:D6)</f>
        <v>41222</v>
      </c>
      <c r="F6" s="578">
        <v>0</v>
      </c>
      <c r="G6" s="578">
        <f>SUM(E6:F6)</f>
        <v>41222</v>
      </c>
      <c r="I6" s="693"/>
      <c r="J6" s="693"/>
      <c r="K6" s="693"/>
      <c r="L6" s="693"/>
      <c r="M6" s="693"/>
      <c r="N6" s="693"/>
      <c r="O6" s="693"/>
      <c r="P6" s="68"/>
      <c r="Q6" s="68"/>
      <c r="R6" s="68"/>
      <c r="S6" s="68"/>
      <c r="T6" s="68"/>
      <c r="U6" s="68"/>
      <c r="V6" s="673"/>
    </row>
    <row r="7" spans="1:23" ht="13.5" thickBot="1">
      <c r="A7" s="573" t="s">
        <v>2528</v>
      </c>
      <c r="B7" s="576">
        <v>0</v>
      </c>
      <c r="C7" s="576">
        <v>0</v>
      </c>
      <c r="D7" s="576">
        <v>63375</v>
      </c>
      <c r="E7" s="576">
        <f t="shared" si="0"/>
        <v>63375</v>
      </c>
      <c r="F7" s="576">
        <v>-63375</v>
      </c>
      <c r="G7" s="576">
        <f>SUM(E7:F7)</f>
        <v>0</v>
      </c>
      <c r="I7" s="693"/>
      <c r="J7" s="693"/>
      <c r="K7" s="693"/>
      <c r="L7" s="693"/>
      <c r="M7" s="693"/>
      <c r="N7" s="693"/>
      <c r="O7" s="693"/>
      <c r="P7" s="68"/>
      <c r="Q7" s="68"/>
      <c r="R7" s="68"/>
      <c r="S7" s="68"/>
      <c r="T7" s="68"/>
      <c r="U7" s="68"/>
      <c r="V7" s="673"/>
    </row>
    <row r="8" spans="1:23" ht="13.5" thickBot="1">
      <c r="A8" s="574" t="s">
        <v>2529</v>
      </c>
      <c r="B8" s="579">
        <f>SUM(B5:B7)</f>
        <v>38794514</v>
      </c>
      <c r="C8" s="579">
        <f t="shared" ref="C8:D8" si="1">SUM(C5:C7)</f>
        <v>41222</v>
      </c>
      <c r="D8" s="579">
        <f t="shared" si="1"/>
        <v>146592</v>
      </c>
      <c r="E8" s="579">
        <f>SUM(E5:E7)</f>
        <v>38982328</v>
      </c>
      <c r="F8" s="579">
        <f>SUM(F5:F7)</f>
        <v>-63375</v>
      </c>
      <c r="G8" s="579">
        <f>SUM(G5:G7)</f>
        <v>38918953</v>
      </c>
      <c r="H8" s="62">
        <f>G8-C8-'24'!F9</f>
        <v>-14727729</v>
      </c>
      <c r="I8" s="695"/>
      <c r="J8" s="693"/>
      <c r="K8" s="693"/>
      <c r="L8" s="693"/>
      <c r="M8" s="693"/>
      <c r="N8" s="693"/>
      <c r="O8" s="693"/>
      <c r="P8" s="68"/>
      <c r="Q8" s="68"/>
      <c r="R8" s="68"/>
      <c r="S8" s="68"/>
      <c r="T8" s="68"/>
      <c r="U8" s="68"/>
      <c r="V8" s="673"/>
    </row>
    <row r="9" spans="1:23" ht="13.5" thickTop="1">
      <c r="A9" s="571" t="s">
        <v>461</v>
      </c>
      <c r="B9" s="578"/>
      <c r="C9" s="572"/>
      <c r="D9" s="572"/>
      <c r="E9" s="572"/>
      <c r="F9" s="572"/>
      <c r="G9" s="572"/>
      <c r="I9" s="691"/>
      <c r="J9" s="693"/>
      <c r="K9" s="693"/>
      <c r="L9" s="693"/>
      <c r="M9" s="693"/>
      <c r="N9" s="693"/>
      <c r="O9" s="693"/>
      <c r="P9" s="68"/>
      <c r="Q9" s="68"/>
      <c r="R9" s="68"/>
      <c r="S9" s="68"/>
      <c r="T9" s="68"/>
      <c r="U9" s="68"/>
      <c r="V9" s="673"/>
    </row>
    <row r="10" spans="1:23">
      <c r="A10" s="571" t="s">
        <v>2530</v>
      </c>
      <c r="B10" s="572"/>
      <c r="C10" s="572"/>
      <c r="D10" s="572"/>
      <c r="E10" s="572"/>
      <c r="F10" s="572"/>
      <c r="G10" s="572"/>
      <c r="I10" s="691"/>
      <c r="J10" s="693"/>
      <c r="K10" s="693"/>
      <c r="L10" s="693"/>
      <c r="M10" s="693"/>
      <c r="N10" s="693"/>
      <c r="O10" s="693"/>
      <c r="P10" s="68"/>
      <c r="Q10" s="68"/>
      <c r="R10" s="68"/>
      <c r="S10" s="68"/>
      <c r="T10" s="68"/>
      <c r="U10" s="68"/>
      <c r="V10" s="673"/>
    </row>
    <row r="11" spans="1:23" ht="13.5" thickBot="1">
      <c r="A11" s="575" t="s">
        <v>2531</v>
      </c>
      <c r="B11" s="579">
        <v>-5129236</v>
      </c>
      <c r="C11" s="579">
        <v>31394</v>
      </c>
      <c r="D11" s="579">
        <v>16050</v>
      </c>
      <c r="E11" s="579">
        <f>SUM(B11:D11)</f>
        <v>-5081792</v>
      </c>
      <c r="F11" s="579">
        <v>0</v>
      </c>
      <c r="G11" s="579">
        <f>SUM(E11:F11)</f>
        <v>-5081792</v>
      </c>
      <c r="I11" s="693"/>
      <c r="J11" s="693"/>
      <c r="K11" s="693"/>
      <c r="L11" s="693"/>
      <c r="M11" s="693"/>
      <c r="N11" s="693"/>
      <c r="O11" s="693"/>
      <c r="P11" s="68"/>
      <c r="Q11" s="68"/>
      <c r="R11" s="68"/>
      <c r="S11" s="68"/>
      <c r="T11" s="68"/>
      <c r="U11" s="68"/>
      <c r="V11" s="673"/>
    </row>
    <row r="12" spans="1:23" ht="13.5" thickTop="1">
      <c r="I12" s="673"/>
      <c r="J12" s="674"/>
      <c r="K12" s="674"/>
      <c r="L12" s="674"/>
      <c r="M12" s="674"/>
      <c r="N12" s="674"/>
      <c r="O12" s="673"/>
      <c r="P12" s="673"/>
      <c r="Q12" s="673"/>
      <c r="R12" s="673"/>
      <c r="S12" s="673"/>
      <c r="T12" s="673"/>
      <c r="U12" s="673"/>
      <c r="V12" s="673"/>
    </row>
    <row r="13" spans="1:23">
      <c r="C13" s="41"/>
      <c r="J13" s="3"/>
      <c r="K13" s="3"/>
      <c r="L13" s="3"/>
      <c r="M13" s="3"/>
      <c r="N13" s="3"/>
    </row>
    <row r="14" spans="1:23" ht="39" thickBot="1">
      <c r="A14" s="567" t="s">
        <v>2520</v>
      </c>
      <c r="B14" s="568" t="s">
        <v>2521</v>
      </c>
      <c r="C14" s="568" t="s">
        <v>2522</v>
      </c>
      <c r="D14" s="642" t="s">
        <v>2523</v>
      </c>
      <c r="E14" s="642" t="s">
        <v>2445</v>
      </c>
      <c r="F14" s="642" t="s">
        <v>2524</v>
      </c>
      <c r="G14" s="642" t="s">
        <v>2945</v>
      </c>
      <c r="H14" s="642" t="s">
        <v>2944</v>
      </c>
      <c r="J14" s="674"/>
      <c r="K14" s="674"/>
      <c r="L14" s="674"/>
      <c r="M14" s="674"/>
      <c r="N14" s="674"/>
      <c r="O14" s="673"/>
      <c r="P14" s="673"/>
      <c r="Q14" s="673"/>
      <c r="R14" s="673"/>
      <c r="S14" s="673"/>
      <c r="T14" s="673"/>
      <c r="U14" s="673"/>
      <c r="V14" s="673"/>
      <c r="W14" s="673"/>
    </row>
    <row r="15" spans="1:23">
      <c r="A15" s="569" t="s">
        <v>2532</v>
      </c>
      <c r="J15" s="717"/>
      <c r="K15" s="718"/>
      <c r="L15" s="718"/>
      <c r="M15" s="719"/>
      <c r="N15" s="718"/>
      <c r="O15" s="718"/>
      <c r="P15" s="718"/>
      <c r="Q15" s="718"/>
      <c r="R15" s="673"/>
      <c r="S15" s="673"/>
      <c r="T15" s="673"/>
      <c r="U15" s="673"/>
      <c r="V15" s="673"/>
      <c r="W15" s="673"/>
    </row>
    <row r="16" spans="1:23">
      <c r="A16" s="569" t="s">
        <v>2526</v>
      </c>
      <c r="I16" s="61" t="s">
        <v>43</v>
      </c>
      <c r="J16" s="717"/>
      <c r="K16" s="691"/>
      <c r="L16" s="691"/>
      <c r="M16" s="692"/>
      <c r="N16" s="691"/>
      <c r="O16" s="691"/>
      <c r="P16" s="691"/>
      <c r="Q16" s="691"/>
      <c r="R16" s="673"/>
      <c r="S16" s="673"/>
      <c r="T16" s="673"/>
      <c r="U16" s="673"/>
      <c r="V16" s="673"/>
      <c r="W16" s="673"/>
    </row>
    <row r="17" spans="1:30">
      <c r="A17" s="572" t="s">
        <v>2527</v>
      </c>
      <c r="B17" s="41" t="e">
        <f>76026403+#REF!+#REF!-#REF!-819806</f>
        <v>#REF!</v>
      </c>
      <c r="D17" s="41">
        <f>'24'!D8</f>
        <v>61102</v>
      </c>
      <c r="F17" s="41" t="e">
        <f>SUM(B17:E17)</f>
        <v>#REF!</v>
      </c>
      <c r="H17" s="580" t="e">
        <f>G17+F17</f>
        <v>#REF!</v>
      </c>
      <c r="I17" s="62" t="e">
        <f>'24'!D9-F17</f>
        <v>#REF!</v>
      </c>
      <c r="J17" s="693"/>
      <c r="K17" s="691"/>
      <c r="L17" s="693"/>
      <c r="M17" s="693"/>
      <c r="N17" s="691"/>
      <c r="O17" s="691"/>
      <c r="P17" s="693"/>
      <c r="Q17" s="691"/>
      <c r="R17" s="120"/>
      <c r="S17" s="120"/>
      <c r="T17" s="120"/>
      <c r="U17" s="120"/>
      <c r="V17" s="120"/>
      <c r="W17" s="120"/>
      <c r="X17" s="120"/>
      <c r="Y17" s="120"/>
    </row>
    <row r="18" spans="1:30">
      <c r="A18" s="572" t="s">
        <v>572</v>
      </c>
      <c r="B18" s="41">
        <v>0</v>
      </c>
      <c r="C18" s="41" t="e">
        <f>'6'!#REF!</f>
        <v>#REF!</v>
      </c>
      <c r="D18" s="41"/>
      <c r="F18" s="41" t="e">
        <f>SUM(B18:E18)</f>
        <v>#REF!</v>
      </c>
      <c r="H18" s="580" t="e">
        <f t="shared" ref="H18" si="2">G18+F18</f>
        <v>#REF!</v>
      </c>
      <c r="J18" s="693"/>
      <c r="K18" s="693"/>
      <c r="L18" s="691"/>
      <c r="M18" s="693"/>
      <c r="N18" s="693"/>
      <c r="O18" s="691"/>
      <c r="P18" s="693"/>
      <c r="Q18" s="691"/>
      <c r="R18" s="120"/>
      <c r="S18" s="120"/>
      <c r="T18" s="120"/>
      <c r="U18" s="120"/>
      <c r="V18" s="120"/>
      <c r="W18" s="120"/>
      <c r="X18" s="120"/>
      <c r="Y18" s="120"/>
    </row>
    <row r="19" spans="1:30" ht="13.5" thickBot="1">
      <c r="A19" s="573" t="s">
        <v>2528</v>
      </c>
      <c r="B19" s="576">
        <v>5731643</v>
      </c>
      <c r="C19" s="573"/>
      <c r="D19" s="577">
        <v>52466</v>
      </c>
      <c r="E19" s="576">
        <v>1533903</v>
      </c>
      <c r="F19" s="576">
        <f>SUM(B19:E19)</f>
        <v>7318012</v>
      </c>
      <c r="G19" s="576">
        <f>-F19</f>
        <v>-7318012</v>
      </c>
      <c r="H19" s="576">
        <f>G19+F19</f>
        <v>0</v>
      </c>
      <c r="J19" s="693"/>
      <c r="K19" s="691"/>
      <c r="L19" s="693"/>
      <c r="M19" s="692"/>
      <c r="N19" s="691"/>
      <c r="O19" s="691"/>
      <c r="P19" s="691"/>
      <c r="Q19" s="693"/>
      <c r="R19" s="120"/>
      <c r="S19" s="120"/>
      <c r="T19" s="120"/>
      <c r="U19" s="120"/>
      <c r="V19" s="120"/>
      <c r="W19" s="120"/>
      <c r="X19" s="120"/>
      <c r="Y19" s="120"/>
    </row>
    <row r="20" spans="1:30" ht="13.5" thickBot="1">
      <c r="A20" s="574" t="s">
        <v>2529</v>
      </c>
      <c r="B20" s="575" t="e">
        <f t="shared" ref="B20:G20" si="3">B19+B18+B17</f>
        <v>#REF!</v>
      </c>
      <c r="C20" s="575" t="e">
        <f t="shared" si="3"/>
        <v>#REF!</v>
      </c>
      <c r="D20" s="575">
        <f t="shared" si="3"/>
        <v>113568</v>
      </c>
      <c r="E20" s="575">
        <f t="shared" si="3"/>
        <v>1533903</v>
      </c>
      <c r="F20" s="575" t="e">
        <f t="shared" si="3"/>
        <v>#REF!</v>
      </c>
      <c r="G20" s="575">
        <f t="shared" si="3"/>
        <v>-7318012</v>
      </c>
      <c r="H20" s="575" t="e">
        <f>H19+H18+H17</f>
        <v>#REF!</v>
      </c>
      <c r="J20" s="695"/>
      <c r="K20" s="691"/>
      <c r="L20" s="691"/>
      <c r="M20" s="692"/>
      <c r="N20" s="691"/>
      <c r="O20" s="691"/>
      <c r="P20" s="691"/>
      <c r="Q20" s="691"/>
      <c r="R20" s="120"/>
      <c r="S20" s="120"/>
      <c r="T20" s="120"/>
      <c r="U20" s="120"/>
      <c r="V20" s="120"/>
      <c r="W20" s="120"/>
      <c r="X20" s="120"/>
      <c r="Y20" s="120"/>
    </row>
    <row r="21" spans="1:30" ht="13.5" thickTop="1">
      <c r="J21" s="673"/>
      <c r="K21" s="691"/>
      <c r="L21" s="691"/>
      <c r="M21" s="692"/>
      <c r="N21" s="691"/>
      <c r="O21" s="691"/>
      <c r="P21" s="691"/>
      <c r="Q21" s="691"/>
      <c r="R21" s="674"/>
      <c r="S21" s="674"/>
      <c r="T21" s="674"/>
      <c r="U21" s="674"/>
      <c r="V21" s="674"/>
      <c r="W21" s="674"/>
      <c r="X21" s="674"/>
      <c r="Y21" s="674"/>
    </row>
    <row r="22" spans="1:30">
      <c r="A22" s="571" t="s">
        <v>2530</v>
      </c>
      <c r="J22" s="673"/>
      <c r="K22" s="691"/>
      <c r="L22" s="691"/>
      <c r="M22" s="692"/>
      <c r="N22" s="691"/>
      <c r="O22" s="691"/>
      <c r="P22" s="691"/>
      <c r="Q22" s="691"/>
      <c r="R22" s="673"/>
      <c r="S22" s="673"/>
      <c r="T22" s="673"/>
      <c r="U22" s="673"/>
      <c r="V22" s="673"/>
      <c r="W22" s="673"/>
    </row>
    <row r="23" spans="1:30" ht="13.5" thickBot="1">
      <c r="A23" s="575" t="s">
        <v>2531</v>
      </c>
      <c r="B23" s="575" t="e">
        <f>ББ!#REF!-SUM(C23:E23)</f>
        <v>#REF!</v>
      </c>
      <c r="C23" s="575" t="e">
        <f>'6'!#REF!</f>
        <v>#REF!</v>
      </c>
      <c r="D23" s="575" t="e">
        <f>ББ!#REF!-D19</f>
        <v>#REF!</v>
      </c>
      <c r="E23" s="575" t="e">
        <f>ББ!#REF!-E19</f>
        <v>#REF!</v>
      </c>
      <c r="F23" s="575" t="e">
        <f>SUM(B23:E23)</f>
        <v>#REF!</v>
      </c>
      <c r="G23" s="575"/>
      <c r="H23" s="575" t="e">
        <f>F23</f>
        <v>#REF!</v>
      </c>
      <c r="I23" s="62" t="e">
        <f>ББ!#REF!-H23</f>
        <v>#REF!</v>
      </c>
      <c r="J23" s="691"/>
      <c r="K23" s="691"/>
      <c r="L23" s="691"/>
      <c r="M23" s="692"/>
      <c r="N23" s="691"/>
      <c r="O23" s="691"/>
      <c r="P23" s="691"/>
      <c r="Q23" s="691"/>
      <c r="R23" s="120"/>
      <c r="S23" s="120"/>
      <c r="T23" s="120"/>
      <c r="U23" s="120"/>
      <c r="V23" s="120"/>
      <c r="W23" s="120"/>
      <c r="X23" s="120"/>
      <c r="Y23" s="120"/>
    </row>
    <row r="24" spans="1:30" ht="13.5" thickTop="1">
      <c r="J24" s="691"/>
      <c r="K24" s="691"/>
      <c r="L24" s="691"/>
      <c r="M24" s="692"/>
      <c r="N24" s="691"/>
      <c r="O24" s="691"/>
      <c r="P24" s="691"/>
      <c r="Q24" s="691"/>
      <c r="R24" s="673"/>
      <c r="S24" s="673"/>
      <c r="T24" s="673"/>
      <c r="U24" s="673"/>
      <c r="V24" s="673"/>
      <c r="W24" s="673"/>
    </row>
    <row r="25" spans="1:30">
      <c r="J25" s="691"/>
      <c r="K25" s="691"/>
      <c r="L25" s="691"/>
      <c r="M25" s="692"/>
      <c r="N25" s="691"/>
      <c r="O25" s="691"/>
      <c r="P25" s="691"/>
      <c r="Q25" s="691"/>
      <c r="R25" s="562"/>
      <c r="S25" s="664"/>
      <c r="T25" s="673"/>
      <c r="U25" s="673"/>
      <c r="V25" s="673"/>
      <c r="W25" s="673"/>
    </row>
    <row r="26" spans="1:30">
      <c r="J26" s="691"/>
      <c r="K26" s="691"/>
      <c r="L26" s="691"/>
      <c r="M26" s="692"/>
      <c r="N26" s="691"/>
      <c r="O26" s="691"/>
      <c r="P26" s="691"/>
      <c r="Q26" s="691"/>
      <c r="R26" s="674"/>
      <c r="S26" s="673"/>
      <c r="T26" s="664"/>
      <c r="U26" s="673"/>
      <c r="V26" s="673"/>
      <c r="W26" s="673"/>
    </row>
    <row r="27" spans="1:30" s="582" customFormat="1" ht="34.5" thickBot="1">
      <c r="A27" s="600" t="s">
        <v>2520</v>
      </c>
      <c r="B27" s="601" t="s">
        <v>2521</v>
      </c>
      <c r="C27" s="601" t="s">
        <v>2522</v>
      </c>
      <c r="D27" s="642" t="s">
        <v>2445</v>
      </c>
      <c r="E27" s="643" t="s">
        <v>2523</v>
      </c>
      <c r="F27" s="643" t="s">
        <v>2524</v>
      </c>
      <c r="G27" s="643" t="s">
        <v>2945</v>
      </c>
      <c r="H27" s="643" t="s">
        <v>2944</v>
      </c>
      <c r="J27" s="691"/>
      <c r="K27" s="691"/>
      <c r="L27" s="691"/>
      <c r="M27" s="692"/>
      <c r="N27" s="691"/>
      <c r="O27" s="691"/>
      <c r="P27" s="691"/>
      <c r="Q27" s="691"/>
      <c r="R27" s="674"/>
      <c r="S27" s="673"/>
      <c r="T27" s="673"/>
      <c r="U27" s="664"/>
      <c r="V27" s="664"/>
      <c r="W27" s="664"/>
    </row>
    <row r="28" spans="1:30">
      <c r="A28" s="593" t="s">
        <v>461</v>
      </c>
      <c r="B28" s="594"/>
      <c r="C28" s="594"/>
      <c r="D28" s="594"/>
      <c r="E28" s="594"/>
      <c r="F28" s="594"/>
      <c r="G28" s="594"/>
      <c r="H28" s="594"/>
      <c r="J28" s="120"/>
      <c r="K28" s="691"/>
      <c r="L28" s="691"/>
      <c r="M28" s="692"/>
      <c r="N28" s="691"/>
      <c r="O28" s="691"/>
      <c r="P28" s="691"/>
      <c r="Q28" s="691"/>
      <c r="R28" s="120"/>
      <c r="S28" s="68"/>
      <c r="T28" s="673"/>
      <c r="U28" s="673"/>
      <c r="V28" s="673"/>
      <c r="W28" s="673"/>
      <c r="X28" s="673"/>
      <c r="Y28" s="673"/>
      <c r="Z28" s="673"/>
      <c r="AA28" s="673"/>
    </row>
    <row r="29" spans="1:30">
      <c r="A29" s="593" t="s">
        <v>2553</v>
      </c>
      <c r="B29" s="596"/>
      <c r="C29" s="596"/>
      <c r="D29" s="596"/>
      <c r="E29" s="596"/>
      <c r="F29" s="596"/>
      <c r="G29" s="596"/>
      <c r="H29" s="596"/>
      <c r="I29" s="61" t="s">
        <v>43</v>
      </c>
      <c r="J29" s="120"/>
      <c r="K29" s="693"/>
      <c r="L29" s="693"/>
      <c r="M29" s="694"/>
      <c r="N29" s="693"/>
      <c r="O29" s="693"/>
      <c r="P29" s="693"/>
      <c r="Q29" s="693"/>
      <c r="R29" s="120"/>
      <c r="S29" s="68"/>
      <c r="T29" s="68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</row>
    <row r="30" spans="1:30">
      <c r="A30" s="595" t="s">
        <v>2282</v>
      </c>
      <c r="B30" s="598" t="e">
        <f>ROUND(ББ!#REF!-SUM(C30:E30)-G30,0)</f>
        <v>#REF!</v>
      </c>
      <c r="C30" s="598">
        <f>ROUND('6'!E18,0)</f>
        <v>206592</v>
      </c>
      <c r="D30" s="598" t="e">
        <f>ББ!#REF!</f>
        <v>#REF!</v>
      </c>
      <c r="E30" s="598" t="e">
        <f>ROUND(ББ!#REF!,0)</f>
        <v>#REF!</v>
      </c>
      <c r="F30" s="598" t="e">
        <f>SUM(B30:E30)</f>
        <v>#REF!</v>
      </c>
      <c r="G30" s="598" t="e">
        <f>-ROUND(SUM(#REF!),0)</f>
        <v>#REF!</v>
      </c>
      <c r="H30" s="598" t="e">
        <f>G30+F30</f>
        <v>#REF!</v>
      </c>
      <c r="I30" s="244" t="e">
        <f>ББ!#REF!-H30</f>
        <v>#REF!</v>
      </c>
      <c r="J30" s="691"/>
      <c r="K30" s="728"/>
      <c r="L30" s="595"/>
      <c r="M30" s="595"/>
      <c r="N30" s="725"/>
      <c r="O30" s="595"/>
      <c r="P30" s="595"/>
      <c r="Q30" s="595"/>
      <c r="R30" s="716"/>
      <c r="S30" s="716"/>
      <c r="T30" s="716"/>
      <c r="U30" s="716"/>
      <c r="V30" s="716"/>
      <c r="W30" s="716"/>
      <c r="X30" s="716"/>
      <c r="Y30" s="716"/>
      <c r="Z30" s="120"/>
      <c r="AA30" s="120"/>
      <c r="AB30" s="120"/>
      <c r="AC30" s="673"/>
      <c r="AD30" s="673"/>
    </row>
    <row r="31" spans="1:30">
      <c r="A31" s="596" t="s">
        <v>2112</v>
      </c>
      <c r="B31" s="602">
        <f>103932753</f>
        <v>103932753</v>
      </c>
      <c r="C31" s="602">
        <v>216421</v>
      </c>
      <c r="D31" s="602">
        <v>0</v>
      </c>
      <c r="E31" s="602">
        <v>251653</v>
      </c>
      <c r="F31" s="598">
        <f>SUM(B31:E31)</f>
        <v>104400827</v>
      </c>
      <c r="G31" s="602">
        <v>-176659</v>
      </c>
      <c r="H31" s="602">
        <f>G31+F31</f>
        <v>104224168</v>
      </c>
      <c r="I31" s="244">
        <f>ББ!F34-H31</f>
        <v>34606506</v>
      </c>
      <c r="J31" s="693"/>
      <c r="K31" s="596"/>
      <c r="L31" s="596"/>
      <c r="M31" s="596"/>
      <c r="N31" s="726"/>
      <c r="O31" s="596"/>
      <c r="P31" s="596"/>
      <c r="Q31" s="596"/>
      <c r="R31" s="716"/>
      <c r="S31" s="716"/>
      <c r="T31" s="716"/>
      <c r="U31" s="716"/>
      <c r="V31" s="716"/>
      <c r="W31" s="716"/>
      <c r="X31" s="716"/>
      <c r="Y31" s="716"/>
      <c r="Z31" s="120"/>
      <c r="AA31" s="120"/>
      <c r="AB31" s="120"/>
      <c r="AC31" s="673"/>
      <c r="AD31" s="673"/>
    </row>
    <row r="32" spans="1:30">
      <c r="A32" s="595"/>
      <c r="B32" s="598"/>
      <c r="C32" s="598"/>
      <c r="D32" s="598"/>
      <c r="E32" s="598"/>
      <c r="F32" s="598"/>
      <c r="G32" s="598"/>
      <c r="H32" s="598"/>
      <c r="I32" s="61"/>
      <c r="J32" s="693"/>
      <c r="K32" s="596"/>
      <c r="L32" s="596"/>
      <c r="M32" s="596"/>
      <c r="N32" s="726"/>
      <c r="O32" s="596"/>
      <c r="P32" s="596"/>
      <c r="Q32" s="596"/>
      <c r="R32" s="120"/>
      <c r="S32" s="68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</row>
    <row r="33" spans="1:30">
      <c r="A33" s="596" t="s">
        <v>461</v>
      </c>
      <c r="B33" s="602"/>
      <c r="C33" s="602"/>
      <c r="D33" s="602"/>
      <c r="E33" s="602"/>
      <c r="F33" s="602"/>
      <c r="G33" s="602"/>
      <c r="H33" s="602"/>
      <c r="I33" s="61"/>
      <c r="J33" s="695"/>
      <c r="K33" s="599"/>
      <c r="L33" s="599"/>
      <c r="M33" s="599"/>
      <c r="N33" s="727"/>
      <c r="O33" s="599"/>
      <c r="P33" s="599"/>
      <c r="Q33" s="599"/>
      <c r="R33" s="120"/>
      <c r="S33" s="68"/>
      <c r="T33" s="68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</row>
    <row r="34" spans="1:30">
      <c r="A34" s="599" t="s">
        <v>2554</v>
      </c>
      <c r="B34" s="603"/>
      <c r="C34" s="603"/>
      <c r="D34" s="603"/>
      <c r="E34" s="603"/>
      <c r="F34" s="603"/>
      <c r="G34" s="603"/>
      <c r="H34" s="603"/>
      <c r="I34" s="61"/>
      <c r="J34" s="673"/>
      <c r="R34" s="716"/>
      <c r="S34" s="716"/>
      <c r="T34" s="716"/>
      <c r="U34" s="716"/>
      <c r="V34" s="716"/>
      <c r="W34" s="68"/>
      <c r="X34" s="68"/>
      <c r="Y34" s="68"/>
      <c r="Z34" s="68"/>
      <c r="AA34" s="68"/>
      <c r="AB34" s="68"/>
      <c r="AC34" s="673"/>
      <c r="AD34" s="673"/>
    </row>
    <row r="35" spans="1:30">
      <c r="A35" s="595" t="s">
        <v>2282</v>
      </c>
      <c r="B35" s="598" t="e">
        <f>-ББ!#REF!-D35-E35-G35</f>
        <v>#REF!</v>
      </c>
      <c r="C35" s="598">
        <v>0</v>
      </c>
      <c r="D35" s="598" t="e">
        <f>-ROUND(ББ!#REF!,0)</f>
        <v>#REF!</v>
      </c>
      <c r="E35" s="598" t="e">
        <f>-ROUND(ББ!#REF!,0)</f>
        <v>#REF!</v>
      </c>
      <c r="F35" s="598" t="e">
        <f>SUM(B35:E35)</f>
        <v>#REF!</v>
      </c>
      <c r="G35" s="598" t="e">
        <f>-SUM(#REF!)</f>
        <v>#REF!</v>
      </c>
      <c r="H35" s="598" t="e">
        <f>G35+F35</f>
        <v>#REF!</v>
      </c>
      <c r="I35" s="244" t="e">
        <f>ББ!#REF!+H35</f>
        <v>#REF!</v>
      </c>
      <c r="J35" s="691"/>
      <c r="K35" s="691"/>
      <c r="L35" s="693"/>
      <c r="M35" s="691"/>
      <c r="N35" s="692"/>
      <c r="O35" s="691"/>
      <c r="P35" s="691"/>
      <c r="Q35" s="691"/>
      <c r="R35" s="716"/>
      <c r="S35" s="716"/>
      <c r="T35" s="716"/>
      <c r="U35" s="716"/>
      <c r="V35" s="716"/>
      <c r="W35" s="716"/>
      <c r="X35" s="716"/>
      <c r="Y35" s="716"/>
      <c r="Z35" s="68"/>
      <c r="AA35" s="68"/>
      <c r="AB35" s="68"/>
      <c r="AC35" s="673"/>
      <c r="AD35" s="673"/>
    </row>
    <row r="36" spans="1:30" ht="13.5" thickBot="1">
      <c r="A36" s="597" t="s">
        <v>2112</v>
      </c>
      <c r="B36" s="604">
        <v>-132047184</v>
      </c>
      <c r="C36" s="604">
        <v>0</v>
      </c>
      <c r="D36" s="604"/>
      <c r="E36" s="604">
        <v>-180164</v>
      </c>
      <c r="F36" s="604">
        <f>SUM(B36:E36)</f>
        <v>-132227348</v>
      </c>
      <c r="G36" s="604">
        <v>176659</v>
      </c>
      <c r="H36" s="604">
        <f>G36+F36</f>
        <v>-132050689</v>
      </c>
      <c r="I36" s="122">
        <f>ББ!F61+H36</f>
        <v>-15254402</v>
      </c>
      <c r="J36" s="693"/>
      <c r="K36" s="693"/>
      <c r="L36" s="693"/>
      <c r="M36" s="693"/>
      <c r="N36" s="694"/>
      <c r="O36" s="693"/>
      <c r="P36" s="693"/>
      <c r="Q36" s="693"/>
      <c r="R36" s="716"/>
      <c r="S36" s="716"/>
      <c r="T36" s="716"/>
      <c r="U36" s="716"/>
      <c r="V36" s="716"/>
      <c r="W36" s="716"/>
      <c r="X36" s="716"/>
      <c r="Y36" s="716"/>
      <c r="Z36" s="673"/>
      <c r="AA36" s="673"/>
      <c r="AB36" s="673"/>
      <c r="AC36" s="673"/>
      <c r="AD36" s="673"/>
    </row>
    <row r="37" spans="1:30">
      <c r="J37" s="674"/>
      <c r="K37" s="674"/>
      <c r="L37" s="674"/>
      <c r="M37" s="674"/>
      <c r="N37" s="674"/>
      <c r="O37" s="674"/>
      <c r="P37" s="674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</row>
    <row r="38" spans="1:30">
      <c r="J38" s="674"/>
      <c r="R38" s="673"/>
      <c r="S38" s="673"/>
      <c r="T38" s="673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</row>
    <row r="39" spans="1:30">
      <c r="J39" s="673"/>
    </row>
  </sheetData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F91"/>
  <sheetViews>
    <sheetView showGridLines="0" topLeftCell="A70" zoomScale="70" zoomScaleNormal="70" workbookViewId="0">
      <selection activeCell="C368" sqref="C368"/>
    </sheetView>
  </sheetViews>
  <sheetFormatPr defaultColWidth="8.7109375" defaultRowHeight="12.75"/>
  <cols>
    <col min="1" max="2" width="8.7109375" style="2"/>
    <col min="3" max="3" width="13.42578125" style="2" customWidth="1"/>
    <col min="4" max="4" width="11.5703125" style="2" bestFit="1" customWidth="1"/>
    <col min="5" max="5" width="15.5703125" style="2" customWidth="1"/>
    <col min="6" max="6" width="11.42578125" style="2" bestFit="1" customWidth="1"/>
    <col min="7" max="7" width="12.140625" style="2" bestFit="1" customWidth="1"/>
    <col min="8" max="8" width="18.42578125" style="2" customWidth="1"/>
    <col min="9" max="9" width="11.42578125" style="2" bestFit="1" customWidth="1"/>
    <col min="10" max="10" width="11.85546875" style="2" bestFit="1" customWidth="1"/>
    <col min="11" max="11" width="13.140625" style="2" customWidth="1"/>
    <col min="12" max="12" width="15.5703125" style="2" bestFit="1" customWidth="1"/>
    <col min="13" max="13" width="11.42578125" style="2" customWidth="1"/>
    <col min="14" max="14" width="12.140625" style="2" customWidth="1"/>
    <col min="15" max="15" width="14.42578125" style="2" customWidth="1"/>
    <col min="16" max="16" width="11.42578125" style="2" bestFit="1" customWidth="1"/>
    <col min="17" max="17" width="15.85546875" style="2" customWidth="1"/>
    <col min="18" max="18" width="13.42578125" style="2" customWidth="1"/>
    <col min="19" max="19" width="8.7109375" style="2" customWidth="1"/>
    <col min="20" max="21" width="8.7109375" style="2"/>
    <col min="22" max="22" width="9" style="2" bestFit="1" customWidth="1"/>
    <col min="23" max="24" width="8.7109375" style="2"/>
    <col min="25" max="25" width="9.140625" style="2" bestFit="1" customWidth="1"/>
    <col min="26" max="16384" width="8.7109375" style="2"/>
  </cols>
  <sheetData>
    <row r="1" spans="1:11">
      <c r="A1" s="609">
        <v>27</v>
      </c>
      <c r="B1" s="609" t="s">
        <v>2563</v>
      </c>
    </row>
    <row r="6" spans="1:11">
      <c r="B6" s="611" t="s">
        <v>2464</v>
      </c>
    </row>
    <row r="8" spans="1:11" ht="12.95" customHeight="1">
      <c r="D8" s="1007" t="s">
        <v>2536</v>
      </c>
      <c r="E8" s="1007"/>
      <c r="F8" s="41">
        <v>384.2</v>
      </c>
      <c r="G8" s="1007" t="s">
        <v>2537</v>
      </c>
      <c r="H8" s="1007"/>
      <c r="J8" s="1009" t="s">
        <v>2538</v>
      </c>
      <c r="K8" s="1009"/>
    </row>
    <row r="9" spans="1:11">
      <c r="B9" s="1"/>
      <c r="D9" s="1008"/>
      <c r="E9" s="1008"/>
      <c r="G9" s="1008"/>
      <c r="H9" s="1008"/>
      <c r="J9" s="1010"/>
      <c r="K9" s="1010"/>
    </row>
    <row r="10" spans="1:11">
      <c r="B10" s="1"/>
      <c r="D10" s="583">
        <v>2018</v>
      </c>
      <c r="E10" s="583">
        <v>2017</v>
      </c>
      <c r="F10" s="583"/>
      <c r="G10" s="583">
        <v>2018</v>
      </c>
      <c r="H10" s="583">
        <v>2017</v>
      </c>
      <c r="J10" s="583">
        <v>2018</v>
      </c>
      <c r="K10" s="583">
        <v>2017</v>
      </c>
    </row>
    <row r="11" spans="1:11">
      <c r="B11" s="584" t="s">
        <v>24</v>
      </c>
      <c r="D11" s="41">
        <v>4</v>
      </c>
      <c r="E11" s="41" t="e">
        <f>'14'!#REF!</f>
        <v>#REF!</v>
      </c>
      <c r="G11" s="41">
        <v>0</v>
      </c>
      <c r="H11" s="41">
        <v>0</v>
      </c>
      <c r="I11" s="41"/>
      <c r="J11" s="41" t="e">
        <f>'14'!#REF!</f>
        <v>#REF!</v>
      </c>
      <c r="K11" s="41" t="e">
        <f>'14'!#REF!</f>
        <v>#REF!</v>
      </c>
    </row>
    <row r="12" spans="1:11">
      <c r="B12" s="655" t="s">
        <v>2533</v>
      </c>
      <c r="D12" s="41" t="e">
        <f>'12'!#REF!</f>
        <v>#REF!</v>
      </c>
      <c r="E12" s="41" t="e">
        <f>'12'!#REF!</f>
        <v>#REF!</v>
      </c>
      <c r="F12" s="41"/>
      <c r="G12" s="41">
        <v>0</v>
      </c>
      <c r="H12" s="41">
        <v>0</v>
      </c>
      <c r="I12" s="41"/>
      <c r="J12" s="41" t="e">
        <f>'12'!#REF!</f>
        <v>#REF!</v>
      </c>
      <c r="K12" s="41" t="e">
        <f>'12'!#REF!</f>
        <v>#REF!</v>
      </c>
    </row>
    <row r="13" spans="1:11">
      <c r="B13" s="584" t="s">
        <v>22</v>
      </c>
      <c r="D13" s="41">
        <f>'8'!G5</f>
        <v>5830373</v>
      </c>
      <c r="E13" s="41">
        <f>'8'!I5</f>
        <v>5763073</v>
      </c>
      <c r="F13" s="41"/>
      <c r="G13" s="41">
        <v>0</v>
      </c>
      <c r="H13" s="41">
        <v>0</v>
      </c>
      <c r="I13" s="41"/>
      <c r="J13" s="41">
        <v>0</v>
      </c>
      <c r="K13" s="41">
        <v>0</v>
      </c>
    </row>
    <row r="14" spans="1:11">
      <c r="B14" s="584" t="s">
        <v>2534</v>
      </c>
      <c r="D14" s="41">
        <f>-('17'!G6+'17'!G7+'17'!G10+'17'!G9)</f>
        <v>-30297523</v>
      </c>
      <c r="E14" s="41">
        <f>-('17'!H6+'17'!H7+'17'!H10+'17'!H9)</f>
        <v>-44665009</v>
      </c>
      <c r="F14" s="41"/>
      <c r="G14" s="41">
        <v>0</v>
      </c>
      <c r="H14" s="41">
        <v>0</v>
      </c>
      <c r="I14" s="41"/>
      <c r="J14" s="41">
        <v>0</v>
      </c>
      <c r="K14" s="41">
        <v>0</v>
      </c>
    </row>
    <row r="15" spans="1:11">
      <c r="B15" s="584" t="s">
        <v>32</v>
      </c>
      <c r="D15" s="41" t="e">
        <f>-'18'!#REF!</f>
        <v>#REF!</v>
      </c>
      <c r="E15" s="41" t="e">
        <f>-'18'!#REF!</f>
        <v>#REF!</v>
      </c>
      <c r="F15" s="41"/>
      <c r="G15" s="41" t="e">
        <f>-'18'!#REF!</f>
        <v>#REF!</v>
      </c>
      <c r="H15" s="41" t="e">
        <f>-'18'!#REF!</f>
        <v>#REF!</v>
      </c>
      <c r="I15" s="41"/>
      <c r="J15" s="41" t="e">
        <f>-'18'!#REF!</f>
        <v>#REF!</v>
      </c>
      <c r="K15" s="41" t="e">
        <f>-'18'!#REF!</f>
        <v>#REF!</v>
      </c>
    </row>
    <row r="16" spans="1:11" s="1" customFormat="1" ht="13.5" thickBot="1">
      <c r="B16" s="585" t="s">
        <v>2535</v>
      </c>
      <c r="D16" s="42" t="e">
        <f>SUM(D11:D15)</f>
        <v>#REF!</v>
      </c>
      <c r="E16" s="42" t="e">
        <f>SUM(E11:E15)</f>
        <v>#REF!</v>
      </c>
      <c r="F16" s="43"/>
      <c r="G16" s="42" t="e">
        <f>SUM(G11:G15)</f>
        <v>#REF!</v>
      </c>
      <c r="H16" s="42" t="e">
        <f>SUM(H11:H15)</f>
        <v>#REF!</v>
      </c>
      <c r="I16" s="43"/>
      <c r="J16" s="42" t="e">
        <f>SUM(J11:J15)</f>
        <v>#REF!</v>
      </c>
      <c r="K16" s="42" t="e">
        <f>SUM(K11:K15)</f>
        <v>#REF!</v>
      </c>
    </row>
    <row r="17" spans="1:13" ht="13.5" thickTop="1">
      <c r="C17" s="584"/>
    </row>
    <row r="18" spans="1:13">
      <c r="C18" s="584"/>
    </row>
    <row r="19" spans="1:13">
      <c r="C19" s="584"/>
    </row>
    <row r="20" spans="1:13" s="1" customFormat="1" ht="14.45" customHeight="1">
      <c r="B20" s="1">
        <v>2017</v>
      </c>
      <c r="C20" s="585"/>
      <c r="D20" s="1011" t="s">
        <v>710</v>
      </c>
      <c r="E20" s="1011"/>
      <c r="G20" s="1012" t="s">
        <v>2049</v>
      </c>
      <c r="H20" s="1012"/>
      <c r="J20" s="1013" t="s">
        <v>2030</v>
      </c>
      <c r="K20" s="1013"/>
    </row>
    <row r="21" spans="1:13" s="1" customFormat="1">
      <c r="C21" s="585"/>
      <c r="D21" s="1" t="s">
        <v>2541</v>
      </c>
      <c r="E21" s="1" t="s">
        <v>2542</v>
      </c>
      <c r="G21" s="1" t="s">
        <v>2541</v>
      </c>
      <c r="H21" s="1" t="s">
        <v>2542</v>
      </c>
      <c r="J21" s="1" t="s">
        <v>2541</v>
      </c>
      <c r="K21" s="1" t="s">
        <v>2542</v>
      </c>
    </row>
    <row r="22" spans="1:13">
      <c r="B22" s="2" t="s">
        <v>2539</v>
      </c>
      <c r="C22" s="584"/>
      <c r="D22" s="505">
        <v>0.1</v>
      </c>
      <c r="E22" s="41" t="e">
        <f>E16*$D$22</f>
        <v>#REF!</v>
      </c>
      <c r="G22" s="589">
        <v>0.13500000000000001</v>
      </c>
      <c r="H22" s="41" t="e">
        <f>G22*H16</f>
        <v>#REF!</v>
      </c>
      <c r="J22" s="505">
        <v>0.16</v>
      </c>
      <c r="K22" s="41" t="e">
        <f>J22*K16</f>
        <v>#REF!</v>
      </c>
    </row>
    <row r="23" spans="1:13">
      <c r="B23" s="2" t="s">
        <v>2540</v>
      </c>
      <c r="C23" s="584"/>
      <c r="D23" s="505">
        <v>-0.1</v>
      </c>
      <c r="E23" s="41" t="e">
        <f>D23*E16</f>
        <v>#REF!</v>
      </c>
      <c r="G23" s="589">
        <v>-9.5000000000000001E-2</v>
      </c>
      <c r="H23" s="41" t="e">
        <f>G23*H16</f>
        <v>#REF!</v>
      </c>
      <c r="J23" s="505">
        <v>-0.16</v>
      </c>
      <c r="K23" s="41" t="e">
        <f>J23*K16</f>
        <v>#REF!</v>
      </c>
    </row>
    <row r="24" spans="1:13">
      <c r="C24" s="584"/>
    </row>
    <row r="25" spans="1:13">
      <c r="B25" s="1">
        <v>2018</v>
      </c>
      <c r="C25" s="584"/>
    </row>
    <row r="26" spans="1:13">
      <c r="C26" s="584"/>
      <c r="D26" s="1011" t="s">
        <v>710</v>
      </c>
      <c r="E26" s="1011"/>
      <c r="F26" s="1"/>
      <c r="G26" s="1012" t="s">
        <v>2049</v>
      </c>
      <c r="H26" s="1012"/>
      <c r="I26" s="1"/>
      <c r="J26" s="1013" t="s">
        <v>2030</v>
      </c>
      <c r="K26" s="1013"/>
    </row>
    <row r="27" spans="1:13">
      <c r="C27" s="584"/>
      <c r="D27" s="1" t="s">
        <v>2541</v>
      </c>
      <c r="E27" s="1" t="s">
        <v>2542</v>
      </c>
      <c r="F27" s="1"/>
      <c r="G27" s="1" t="s">
        <v>2541</v>
      </c>
      <c r="H27" s="1" t="s">
        <v>2542</v>
      </c>
      <c r="I27" s="1"/>
      <c r="J27" s="1" t="s">
        <v>2541</v>
      </c>
      <c r="K27" s="1" t="s">
        <v>2542</v>
      </c>
    </row>
    <row r="28" spans="1:13">
      <c r="B28" s="220" t="s">
        <v>2539</v>
      </c>
      <c r="C28" s="591"/>
      <c r="D28" s="610">
        <v>0.14000000000000001</v>
      </c>
      <c r="E28" s="365" t="e">
        <f>ROUND($D$16*D28,0)</f>
        <v>#REF!</v>
      </c>
      <c r="F28" s="220"/>
      <c r="G28" s="610">
        <v>0.14000000000000001</v>
      </c>
      <c r="H28" s="365" t="e">
        <f>ROUND($G$16*G28,0)</f>
        <v>#REF!</v>
      </c>
      <c r="I28" s="220"/>
      <c r="J28" s="610">
        <v>0.14000000000000001</v>
      </c>
      <c r="K28" s="365" t="e">
        <f>ROUND($J$16*J28,0)</f>
        <v>#REF!</v>
      </c>
    </row>
    <row r="29" spans="1:13">
      <c r="A29" s="612"/>
      <c r="B29" s="613" t="s">
        <v>2540</v>
      </c>
      <c r="C29" s="614"/>
      <c r="D29" s="615">
        <v>-0.1</v>
      </c>
      <c r="E29" s="616" t="e">
        <f>ROUND($D$16*D29,0)</f>
        <v>#REF!</v>
      </c>
      <c r="F29" s="613"/>
      <c r="G29" s="615">
        <v>-0.1</v>
      </c>
      <c r="H29" s="616" t="e">
        <f>ROUND($G$16*G29,0)</f>
        <v>#REF!</v>
      </c>
      <c r="I29" s="613"/>
      <c r="J29" s="615">
        <v>-0.09</v>
      </c>
      <c r="K29" s="616" t="e">
        <f>ROUND($J$16*J29,0)</f>
        <v>#REF!</v>
      </c>
      <c r="L29" s="612"/>
      <c r="M29" s="612"/>
    </row>
    <row r="30" spans="1:13">
      <c r="C30" s="584"/>
    </row>
    <row r="31" spans="1:13">
      <c r="C31" s="584"/>
    </row>
    <row r="32" spans="1:13">
      <c r="C32" s="584"/>
    </row>
    <row r="33" spans="2:32">
      <c r="B33" s="44" t="s">
        <v>2465</v>
      </c>
    </row>
    <row r="34" spans="2:32">
      <c r="B34" s="1"/>
    </row>
    <row r="35" spans="2:32">
      <c r="B35" s="1" t="s">
        <v>683</v>
      </c>
      <c r="K35" s="1" t="s">
        <v>607</v>
      </c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</row>
    <row r="36" spans="2:32" ht="25.5">
      <c r="D36" s="506" t="s">
        <v>2114</v>
      </c>
      <c r="E36" s="506" t="s">
        <v>2466</v>
      </c>
      <c r="F36" s="506" t="s">
        <v>2467</v>
      </c>
      <c r="G36" s="506" t="s">
        <v>2468</v>
      </c>
      <c r="H36" s="506" t="s">
        <v>338</v>
      </c>
      <c r="I36" s="61" t="s">
        <v>43</v>
      </c>
      <c r="M36" s="506" t="s">
        <v>2977</v>
      </c>
      <c r="N36" s="506" t="s">
        <v>2114</v>
      </c>
      <c r="O36" s="506" t="s">
        <v>2466</v>
      </c>
      <c r="P36" s="506" t="s">
        <v>2467</v>
      </c>
      <c r="Q36" s="506" t="s">
        <v>2468</v>
      </c>
      <c r="R36" s="506" t="s">
        <v>338</v>
      </c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</row>
    <row r="37" spans="2:32">
      <c r="B37" s="2" t="s">
        <v>2469</v>
      </c>
      <c r="D37" s="41">
        <v>16374219</v>
      </c>
      <c r="E37" s="41">
        <v>9851614</v>
      </c>
      <c r="F37" s="41">
        <v>69206726</v>
      </c>
      <c r="G37" s="41">
        <v>0</v>
      </c>
      <c r="H37" s="41">
        <f>SUM(D37:G37)</f>
        <v>95432559</v>
      </c>
      <c r="I37" s="41"/>
      <c r="J37" s="41"/>
      <c r="K37" s="2" t="s">
        <v>2469</v>
      </c>
      <c r="M37" s="365">
        <v>0</v>
      </c>
      <c r="N37" s="365">
        <v>4389135</v>
      </c>
      <c r="O37" s="365">
        <v>12908986</v>
      </c>
      <c r="P37" s="365">
        <v>72671867</v>
      </c>
      <c r="Q37" s="41">
        <v>0</v>
      </c>
      <c r="R37" s="41">
        <f>SUM(N37:Q37)</f>
        <v>89969988</v>
      </c>
      <c r="S37" s="628"/>
      <c r="T37" s="722"/>
      <c r="U37" s="628"/>
      <c r="V37" s="628"/>
      <c r="W37" s="628"/>
      <c r="X37" s="628"/>
      <c r="Y37" s="559"/>
      <c r="Z37" s="68"/>
      <c r="AA37" s="68"/>
      <c r="AB37" s="68"/>
      <c r="AC37" s="68"/>
      <c r="AD37" s="68"/>
      <c r="AE37" s="68"/>
      <c r="AF37" s="673"/>
    </row>
    <row r="38" spans="2:32">
      <c r="B38" s="2" t="s">
        <v>2470</v>
      </c>
      <c r="D38" s="41">
        <v>0</v>
      </c>
      <c r="E38" s="41">
        <v>10458369</v>
      </c>
      <c r="F38" s="41">
        <v>717289</v>
      </c>
      <c r="G38" s="41">
        <v>668583</v>
      </c>
      <c r="H38" s="41">
        <f>SUM(D38:G38)</f>
        <v>11844241</v>
      </c>
      <c r="I38" s="63">
        <f>ББ!F43+ББ!F53-H38</f>
        <v>1042574</v>
      </c>
      <c r="J38" s="41"/>
      <c r="K38" s="2" t="s">
        <v>38</v>
      </c>
      <c r="M38" s="41" t="e">
        <f>#REF!</f>
        <v>#REF!</v>
      </c>
      <c r="N38" s="365">
        <v>0</v>
      </c>
      <c r="O38" s="365" t="e">
        <f>'18'!E19-M38</f>
        <v>#REF!</v>
      </c>
      <c r="P38" s="365">
        <v>234744</v>
      </c>
      <c r="Q38" s="365">
        <v>0</v>
      </c>
      <c r="R38" s="365" t="e">
        <f>SUM(M38:Q38)</f>
        <v>#REF!</v>
      </c>
      <c r="S38" s="650"/>
      <c r="T38" s="722"/>
      <c r="U38" s="628"/>
      <c r="V38" s="628"/>
      <c r="W38" s="559"/>
      <c r="X38" s="628"/>
      <c r="Y38" s="628"/>
      <c r="Z38" s="68"/>
      <c r="AA38" s="68"/>
      <c r="AB38" s="68"/>
      <c r="AC38" s="68"/>
      <c r="AD38" s="68"/>
      <c r="AE38" s="68"/>
      <c r="AF38" s="673"/>
    </row>
    <row r="39" spans="2:32">
      <c r="B39" s="2" t="s">
        <v>35</v>
      </c>
      <c r="D39" s="41">
        <v>618810</v>
      </c>
      <c r="E39" s="41">
        <v>31379</v>
      </c>
      <c r="F39" s="41">
        <v>121687</v>
      </c>
      <c r="G39" s="41">
        <v>0</v>
      </c>
      <c r="H39" s="41">
        <f>SUM(D39:G39)</f>
        <v>771876</v>
      </c>
      <c r="I39" s="365"/>
      <c r="J39" s="41"/>
      <c r="K39" s="2" t="s">
        <v>35</v>
      </c>
      <c r="M39" s="41">
        <v>0</v>
      </c>
      <c r="N39" s="365">
        <v>1101180</v>
      </c>
      <c r="O39" s="365">
        <v>30243</v>
      </c>
      <c r="P39" s="365">
        <v>96832</v>
      </c>
      <c r="Q39" s="365">
        <v>0</v>
      </c>
      <c r="R39" s="365">
        <f>SUM(N39:Q39)</f>
        <v>1228255</v>
      </c>
      <c r="S39" s="628"/>
      <c r="T39" s="722"/>
      <c r="U39" s="628"/>
      <c r="V39" s="628"/>
      <c r="W39" s="559"/>
      <c r="X39" s="628"/>
      <c r="Y39" s="628"/>
      <c r="Z39" s="68"/>
      <c r="AA39" s="68"/>
      <c r="AB39" s="68"/>
      <c r="AC39" s="68"/>
      <c r="AD39" s="68"/>
      <c r="AE39" s="68"/>
      <c r="AF39" s="673"/>
    </row>
    <row r="40" spans="2:32" s="1" customFormat="1" ht="13.5" thickBot="1">
      <c r="D40" s="42">
        <f t="shared" ref="D40:G40" si="0">SUM(D37:D39)</f>
        <v>16993029</v>
      </c>
      <c r="E40" s="42">
        <f t="shared" si="0"/>
        <v>20341362</v>
      </c>
      <c r="F40" s="42">
        <f t="shared" si="0"/>
        <v>70045702</v>
      </c>
      <c r="G40" s="42">
        <f t="shared" si="0"/>
        <v>668583</v>
      </c>
      <c r="H40" s="42">
        <f>SUM(H37:H39)</f>
        <v>108048676</v>
      </c>
      <c r="I40" s="43"/>
      <c r="K40" s="2"/>
      <c r="L40" s="2"/>
      <c r="M40" s="42" t="e">
        <f t="shared" ref="M40:R40" si="1">SUM(M37:M39)</f>
        <v>#REF!</v>
      </c>
      <c r="N40" s="42">
        <f t="shared" si="1"/>
        <v>5490315</v>
      </c>
      <c r="O40" s="42" t="e">
        <f t="shared" si="1"/>
        <v>#REF!</v>
      </c>
      <c r="P40" s="42">
        <f t="shared" si="1"/>
        <v>73003443</v>
      </c>
      <c r="Q40" s="42">
        <f t="shared" si="1"/>
        <v>0</v>
      </c>
      <c r="R40" s="42" t="e">
        <f t="shared" si="1"/>
        <v>#REF!</v>
      </c>
      <c r="S40" s="628"/>
      <c r="T40" s="722"/>
      <c r="U40" s="628"/>
      <c r="V40" s="629"/>
      <c r="W40" s="628"/>
      <c r="X40" s="628"/>
      <c r="Y40" s="628"/>
      <c r="Z40" s="68"/>
      <c r="AA40" s="68"/>
      <c r="AB40" s="68"/>
      <c r="AC40" s="68"/>
      <c r="AD40" s="68"/>
      <c r="AE40" s="68"/>
      <c r="AF40" s="636"/>
    </row>
    <row r="41" spans="2:32" ht="13.5" thickTop="1">
      <c r="E41" s="41"/>
      <c r="G41" s="41"/>
      <c r="H41" s="41"/>
      <c r="I41" s="41"/>
      <c r="R41" s="673"/>
      <c r="S41" s="673"/>
      <c r="T41" s="673"/>
      <c r="U41" s="673"/>
      <c r="V41" s="673"/>
      <c r="W41" s="673"/>
      <c r="X41" s="673"/>
      <c r="Y41" s="673"/>
      <c r="Z41" s="673"/>
      <c r="AA41" s="673"/>
      <c r="AB41" s="673"/>
      <c r="AC41" s="673"/>
      <c r="AD41" s="673"/>
      <c r="AE41" s="673"/>
      <c r="AF41" s="673"/>
    </row>
    <row r="42" spans="2:32" ht="15">
      <c r="D42" s="734"/>
      <c r="E42"/>
      <c r="F42"/>
      <c r="G42"/>
      <c r="H42"/>
      <c r="M42" s="732"/>
      <c r="N42" s="700"/>
      <c r="O42" s="700"/>
      <c r="P42" s="733"/>
      <c r="Q42" s="700"/>
      <c r="R42" s="700"/>
      <c r="S42" s="673"/>
      <c r="T42" s="68"/>
      <c r="U42" s="68"/>
      <c r="V42" s="68"/>
      <c r="W42" s="68"/>
      <c r="X42" s="68"/>
      <c r="Y42" s="68"/>
    </row>
    <row r="43" spans="2:32">
      <c r="M43" s="732"/>
      <c r="N43" s="700"/>
      <c r="O43" s="700"/>
      <c r="P43" s="700"/>
      <c r="Q43" s="700"/>
      <c r="R43" s="700"/>
      <c r="S43" s="673"/>
      <c r="T43" s="68"/>
      <c r="U43" s="68"/>
      <c r="V43" s="68"/>
      <c r="W43" s="68"/>
      <c r="X43" s="68"/>
      <c r="Y43" s="68"/>
    </row>
    <row r="45" spans="2:32">
      <c r="O45" s="218"/>
    </row>
    <row r="46" spans="2:32">
      <c r="D46" s="1012" t="s">
        <v>2112</v>
      </c>
      <c r="E46" s="1012"/>
      <c r="F46" s="1012"/>
      <c r="G46" s="1012"/>
      <c r="K46" s="1012" t="s">
        <v>2282</v>
      </c>
      <c r="L46" s="1012"/>
      <c r="M46" s="1012"/>
      <c r="N46" s="1012"/>
      <c r="O46" s="218"/>
    </row>
    <row r="47" spans="2:32">
      <c r="D47" s="1" t="s">
        <v>2543</v>
      </c>
      <c r="E47" s="1" t="s">
        <v>2544</v>
      </c>
      <c r="F47" s="1" t="s">
        <v>2545</v>
      </c>
      <c r="G47" s="1" t="s">
        <v>338</v>
      </c>
      <c r="H47" s="590" t="s">
        <v>43</v>
      </c>
      <c r="I47" s="590"/>
      <c r="K47" s="1" t="s">
        <v>2543</v>
      </c>
      <c r="L47" s="366" t="s">
        <v>2544</v>
      </c>
      <c r="M47" s="1" t="s">
        <v>2545</v>
      </c>
      <c r="N47" s="1" t="s">
        <v>338</v>
      </c>
      <c r="O47" s="218"/>
    </row>
    <row r="48" spans="2:32">
      <c r="B48" s="1" t="s">
        <v>2546</v>
      </c>
      <c r="J48" s="1" t="s">
        <v>2546</v>
      </c>
      <c r="O48" s="218"/>
    </row>
    <row r="49" spans="2:21">
      <c r="B49" s="2" t="s">
        <v>22</v>
      </c>
      <c r="D49" s="41">
        <v>0</v>
      </c>
      <c r="E49" s="41">
        <v>0</v>
      </c>
      <c r="F49" s="41">
        <f>'8'!I8</f>
        <v>5944758</v>
      </c>
      <c r="G49" s="41">
        <f>SUM(D49:F49)</f>
        <v>5944758</v>
      </c>
      <c r="H49" s="62">
        <f>ББ!F28-G49</f>
        <v>0</v>
      </c>
      <c r="J49" s="2" t="s">
        <v>22</v>
      </c>
      <c r="K49" s="41">
        <v>0</v>
      </c>
      <c r="L49" s="41">
        <v>0</v>
      </c>
      <c r="M49" s="41">
        <f>'8'!G8</f>
        <v>5899396</v>
      </c>
      <c r="N49" s="43">
        <f>SUM(K49:M49)</f>
        <v>5899396</v>
      </c>
      <c r="O49" s="62" t="e">
        <f>ББ!#REF!+ББ!#REF!-M49</f>
        <v>#REF!</v>
      </c>
      <c r="Q49" s="697"/>
      <c r="R49" s="697"/>
      <c r="T49" s="41"/>
    </row>
    <row r="50" spans="2:21">
      <c r="B50" s="2" t="s">
        <v>19</v>
      </c>
      <c r="D50" s="41">
        <v>0</v>
      </c>
      <c r="E50" s="41">
        <v>0</v>
      </c>
      <c r="F50" s="41">
        <f>'12'!G14</f>
        <v>1622694</v>
      </c>
      <c r="G50" s="41">
        <f>SUM(D50:F50)</f>
        <v>1622694</v>
      </c>
      <c r="H50" s="365">
        <f>'12'!G14-G50</f>
        <v>0</v>
      </c>
      <c r="J50" s="2" t="s">
        <v>19</v>
      </c>
      <c r="K50" s="41">
        <v>0</v>
      </c>
      <c r="L50" s="41">
        <v>0</v>
      </c>
      <c r="M50" s="365" t="e">
        <f>ББ!#REF!</f>
        <v>#REF!</v>
      </c>
      <c r="N50" s="43" t="e">
        <f>SUM(K50:M50)</f>
        <v>#REF!</v>
      </c>
      <c r="O50" s="62" t="e">
        <f>ББ!#REF!-N50</f>
        <v>#REF!</v>
      </c>
      <c r="Q50" s="697"/>
      <c r="R50" s="697"/>
      <c r="T50" s="41"/>
    </row>
    <row r="51" spans="2:21">
      <c r="B51" s="2" t="s">
        <v>8</v>
      </c>
      <c r="D51" s="41">
        <v>0</v>
      </c>
      <c r="E51" s="41">
        <v>0</v>
      </c>
      <c r="F51" s="41">
        <v>354159</v>
      </c>
      <c r="G51" s="41">
        <f>SUM(D51:F51)</f>
        <v>354159</v>
      </c>
      <c r="H51" s="62" t="e">
        <f>'6'!#REF!-G51</f>
        <v>#REF!</v>
      </c>
      <c r="I51" s="41"/>
      <c r="J51" s="2" t="s">
        <v>8</v>
      </c>
      <c r="K51" s="41">
        <v>0</v>
      </c>
      <c r="L51" s="41">
        <v>0</v>
      </c>
      <c r="M51" s="41" t="e">
        <f>ROUND('6'!#REF!,0)</f>
        <v>#REF!</v>
      </c>
      <c r="N51" s="43" t="e">
        <f>SUM(K51:M51)</f>
        <v>#REF!</v>
      </c>
      <c r="O51" s="62"/>
      <c r="Q51" s="697"/>
      <c r="R51" s="697"/>
      <c r="T51" s="41"/>
    </row>
    <row r="52" spans="2:21">
      <c r="B52" s="2" t="s">
        <v>25</v>
      </c>
      <c r="D52" s="41">
        <v>0</v>
      </c>
      <c r="E52" s="41">
        <v>0</v>
      </c>
      <c r="F52" s="41">
        <v>39555</v>
      </c>
      <c r="G52" s="41">
        <f>SUM(D52:F52)</f>
        <v>39555</v>
      </c>
      <c r="H52" s="62">
        <f>ББ!F32-G52</f>
        <v>-10962</v>
      </c>
      <c r="J52" s="2" t="s">
        <v>25</v>
      </c>
      <c r="K52" s="41">
        <v>0</v>
      </c>
      <c r="L52" s="41">
        <v>0</v>
      </c>
      <c r="M52" s="41" t="e">
        <f>ББ!#REF!</f>
        <v>#REF!</v>
      </c>
      <c r="N52" s="43" t="e">
        <f>SUM(K52:M52)</f>
        <v>#REF!</v>
      </c>
      <c r="O52" s="62" t="e">
        <f>ББ!#REF!-N52</f>
        <v>#REF!</v>
      </c>
      <c r="Q52" s="697"/>
      <c r="R52" s="697"/>
      <c r="T52" s="41"/>
    </row>
    <row r="53" spans="2:21">
      <c r="O53" s="218"/>
    </row>
    <row r="54" spans="2:21">
      <c r="O54" s="218"/>
    </row>
    <row r="55" spans="2:21">
      <c r="H55" s="41"/>
      <c r="O55" s="218"/>
    </row>
    <row r="56" spans="2:21">
      <c r="B56" s="1" t="s">
        <v>2547</v>
      </c>
      <c r="J56" s="1" t="s">
        <v>2547</v>
      </c>
      <c r="O56" s="218"/>
    </row>
    <row r="57" spans="2:21">
      <c r="B57" s="2" t="s">
        <v>2469</v>
      </c>
      <c r="D57" s="41">
        <v>0</v>
      </c>
      <c r="E57" s="41">
        <v>86551203</v>
      </c>
      <c r="F57" s="41"/>
      <c r="G57" s="41">
        <f>SUM(D57:F57)</f>
        <v>86551203</v>
      </c>
      <c r="H57" s="41">
        <f>'17'!H11-G57</f>
        <v>-13621125</v>
      </c>
      <c r="J57" s="2" t="s">
        <v>2469</v>
      </c>
      <c r="K57" s="41">
        <v>0</v>
      </c>
      <c r="L57" s="41">
        <f>'17'!G11</f>
        <v>55241506</v>
      </c>
      <c r="M57" s="41">
        <v>0</v>
      </c>
      <c r="N57" s="41">
        <f>SUM(K57:M57)</f>
        <v>55241506</v>
      </c>
      <c r="O57" s="62" t="e">
        <f>ББ!#REF!+ББ!#REF!-N57</f>
        <v>#REF!</v>
      </c>
      <c r="Q57" s="628"/>
      <c r="R57" s="68"/>
    </row>
    <row r="58" spans="2:21">
      <c r="B58" s="2" t="s">
        <v>38</v>
      </c>
      <c r="D58" s="41">
        <v>0</v>
      </c>
      <c r="E58" s="41">
        <v>0</v>
      </c>
      <c r="F58" s="41">
        <v>11608298</v>
      </c>
      <c r="G58" s="41">
        <f>SUM(D58:F58)</f>
        <v>11608298</v>
      </c>
      <c r="H58" s="41">
        <f>ББ!F43+ББ!F53-G58</f>
        <v>1278517</v>
      </c>
      <c r="J58" s="2" t="s">
        <v>38</v>
      </c>
      <c r="K58" s="41">
        <v>0</v>
      </c>
      <c r="L58" s="41">
        <v>0</v>
      </c>
      <c r="M58" s="41" t="e">
        <f>ББ!#REF!+ББ!#REF!</f>
        <v>#REF!</v>
      </c>
      <c r="N58" s="41" t="e">
        <f>SUM(K58:M58)</f>
        <v>#REF!</v>
      </c>
      <c r="O58" s="62" t="e">
        <f>ББ!#REF!+ББ!#REF!-N58</f>
        <v>#REF!</v>
      </c>
      <c r="Q58" s="628"/>
      <c r="R58" s="68"/>
    </row>
    <row r="60" spans="2:21">
      <c r="K60" s="66"/>
      <c r="L60" s="66"/>
      <c r="M60" s="66"/>
      <c r="N60" s="66"/>
      <c r="O60" s="66"/>
      <c r="P60" s="66"/>
      <c r="Q60" s="66"/>
    </row>
    <row r="61" spans="2:21" s="504" customFormat="1">
      <c r="E61" s="1012" t="s">
        <v>682</v>
      </c>
      <c r="F61" s="1012"/>
      <c r="G61" s="1012" t="s">
        <v>2549</v>
      </c>
      <c r="H61" s="1012"/>
      <c r="K61" s="689"/>
      <c r="L61" s="689"/>
      <c r="M61" s="689"/>
      <c r="N61" s="689"/>
      <c r="O61" s="689"/>
      <c r="P61" s="689"/>
      <c r="Q61" s="689"/>
      <c r="R61" s="689"/>
      <c r="S61" s="689"/>
      <c r="T61" s="689"/>
      <c r="U61" s="689"/>
    </row>
    <row r="62" spans="2:21">
      <c r="B62" s="1" t="s">
        <v>2546</v>
      </c>
      <c r="E62" s="592">
        <v>43465</v>
      </c>
      <c r="F62" s="592">
        <v>43100</v>
      </c>
      <c r="G62" s="592">
        <v>43465</v>
      </c>
      <c r="H62" s="592">
        <v>43100</v>
      </c>
      <c r="I62" s="61" t="s">
        <v>43</v>
      </c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</row>
    <row r="63" spans="2:21">
      <c r="B63" s="2" t="s">
        <v>22</v>
      </c>
      <c r="E63" s="41">
        <f>'8'!G8</f>
        <v>5899396</v>
      </c>
      <c r="F63" s="41">
        <f>F49</f>
        <v>5944758</v>
      </c>
      <c r="G63" s="365">
        <f>E63</f>
        <v>5899396</v>
      </c>
      <c r="H63" s="41">
        <f>F63</f>
        <v>5944758</v>
      </c>
      <c r="I63" s="62" t="e">
        <f>ББ!#REF!+ББ!#REF!-E63</f>
        <v>#REF!</v>
      </c>
      <c r="J63" s="62">
        <f>'8'!I8-H63</f>
        <v>0</v>
      </c>
      <c r="K63" s="628"/>
      <c r="L63" s="628"/>
      <c r="M63" s="628"/>
      <c r="N63" s="628"/>
      <c r="O63" s="639"/>
      <c r="P63" s="639"/>
      <c r="Q63" s="639"/>
      <c r="R63" s="639"/>
      <c r="S63" s="639"/>
      <c r="T63" s="639"/>
      <c r="U63" s="673"/>
    </row>
    <row r="64" spans="2:21">
      <c r="B64" s="2" t="s">
        <v>389</v>
      </c>
      <c r="E64" s="41" t="e">
        <f>ББ!#REF!</f>
        <v>#REF!</v>
      </c>
      <c r="F64" s="41">
        <v>8972</v>
      </c>
      <c r="G64" s="41" t="e">
        <f>E64</f>
        <v>#REF!</v>
      </c>
      <c r="H64" s="41">
        <v>8972</v>
      </c>
      <c r="I64" s="62" t="e">
        <f>ББ!#REF!-E64</f>
        <v>#REF!</v>
      </c>
      <c r="J64" s="62">
        <f>ББ!F17-F64</f>
        <v>152729</v>
      </c>
      <c r="K64" s="628"/>
      <c r="L64" s="628"/>
      <c r="M64" s="628"/>
      <c r="N64" s="628"/>
      <c r="O64" s="639"/>
      <c r="P64" s="639"/>
      <c r="Q64" s="639"/>
      <c r="R64" s="639"/>
      <c r="S64" s="639"/>
      <c r="T64" s="639"/>
      <c r="U64" s="673"/>
    </row>
    <row r="65" spans="1:21">
      <c r="K65" s="632"/>
      <c r="L65" s="632"/>
      <c r="M65" s="632"/>
      <c r="N65" s="632"/>
      <c r="O65" s="638"/>
      <c r="P65" s="673"/>
      <c r="Q65" s="673"/>
      <c r="R65" s="673"/>
      <c r="S65" s="673"/>
      <c r="T65" s="673"/>
      <c r="U65" s="673"/>
    </row>
    <row r="66" spans="1:21">
      <c r="B66" s="1" t="s">
        <v>2547</v>
      </c>
      <c r="K66" s="632"/>
      <c r="L66" s="632"/>
      <c r="M66" s="632"/>
      <c r="N66" s="632"/>
      <c r="O66" s="638"/>
      <c r="P66" s="673"/>
      <c r="Q66" s="673"/>
      <c r="R66" s="673"/>
      <c r="S66" s="673"/>
      <c r="T66" s="673"/>
      <c r="U66" s="673"/>
    </row>
    <row r="67" spans="1:21">
      <c r="B67" s="2" t="s">
        <v>2548</v>
      </c>
      <c r="E67" s="41">
        <f>'17'!G11</f>
        <v>55241506</v>
      </c>
      <c r="F67" s="41">
        <v>86551203</v>
      </c>
      <c r="G67" s="365">
        <v>71288624</v>
      </c>
      <c r="H67" s="41">
        <v>87773700</v>
      </c>
      <c r="I67" s="62" t="e">
        <f>ББ!#REF!+ББ!#REF!-E67</f>
        <v>#REF!</v>
      </c>
      <c r="J67" s="62">
        <f>ББ!F42+ББ!F52-F67</f>
        <v>-13621125</v>
      </c>
      <c r="K67" s="628"/>
      <c r="L67" s="559"/>
      <c r="M67" s="628"/>
      <c r="N67" s="559"/>
      <c r="O67" s="639"/>
      <c r="P67" s="639"/>
      <c r="Q67" s="639"/>
      <c r="R67" s="639"/>
      <c r="S67" s="639"/>
      <c r="T67" s="673"/>
      <c r="U67" s="673"/>
    </row>
    <row r="68" spans="1:21">
      <c r="B68" s="2" t="s">
        <v>35</v>
      </c>
      <c r="E68" s="41" t="e">
        <f>ББ!#REF!+ББ!#REF!</f>
        <v>#REF!</v>
      </c>
      <c r="F68" s="41">
        <v>704258</v>
      </c>
      <c r="G68" s="41" t="e">
        <f>E68</f>
        <v>#REF!</v>
      </c>
      <c r="H68" s="41">
        <v>704258</v>
      </c>
      <c r="J68" s="62">
        <f>ББ!F58+ББ!F48-H68</f>
        <v>482182</v>
      </c>
      <c r="K68" s="628"/>
      <c r="L68" s="628"/>
      <c r="M68" s="628"/>
      <c r="N68" s="628"/>
      <c r="O68" s="639"/>
      <c r="P68" s="639"/>
      <c r="Q68" s="639"/>
      <c r="R68" s="639"/>
      <c r="S68" s="639"/>
      <c r="T68" s="673"/>
      <c r="U68" s="673"/>
    </row>
    <row r="69" spans="1:21">
      <c r="K69" s="673"/>
      <c r="L69" s="673"/>
      <c r="M69" s="673"/>
      <c r="N69" s="673"/>
      <c r="O69" s="673"/>
      <c r="P69" s="673"/>
      <c r="Q69" s="673"/>
      <c r="R69" s="673"/>
      <c r="S69" s="673"/>
      <c r="T69" s="673"/>
      <c r="U69" s="673"/>
    </row>
    <row r="70" spans="1:21"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73"/>
    </row>
    <row r="71" spans="1:21">
      <c r="B71" s="605"/>
      <c r="C71" s="606"/>
      <c r="D71" s="606"/>
      <c r="E71" s="606"/>
      <c r="F71" s="607"/>
      <c r="G71" s="606"/>
      <c r="H71" s="606"/>
      <c r="I71" s="606"/>
      <c r="J71" s="606"/>
      <c r="K71" s="607"/>
      <c r="L71" s="607"/>
      <c r="M71" s="701"/>
      <c r="N71" s="702"/>
      <c r="O71" s="673"/>
      <c r="P71" s="673"/>
      <c r="Q71" s="673"/>
      <c r="R71" s="673"/>
      <c r="S71" s="673"/>
      <c r="T71" s="673"/>
      <c r="U71" s="673"/>
    </row>
    <row r="73" spans="1:21">
      <c r="C73" s="608" t="s">
        <v>2559</v>
      </c>
      <c r="E73" s="608" t="s">
        <v>2560</v>
      </c>
      <c r="G73" s="608" t="s">
        <v>2561</v>
      </c>
      <c r="I73" s="620">
        <v>5.0000000000000001E-3</v>
      </c>
      <c r="K73" s="608" t="s">
        <v>2562</v>
      </c>
      <c r="M73" s="608" t="s">
        <v>2558</v>
      </c>
    </row>
    <row r="74" spans="1:21">
      <c r="A74" s="2" t="s">
        <v>701</v>
      </c>
      <c r="B74" s="66"/>
      <c r="C74" s="618">
        <f>C77-C76</f>
        <v>2406984.3800000008</v>
      </c>
      <c r="D74" s="66"/>
      <c r="E74" s="617">
        <v>46256.08</v>
      </c>
      <c r="F74" s="66"/>
      <c r="G74" s="589">
        <f>E74/C74</f>
        <v>1.9217440870970666E-2</v>
      </c>
      <c r="I74" s="589">
        <f>0.5%</f>
        <v>5.0000000000000001E-3</v>
      </c>
      <c r="K74" s="41">
        <f>(I74+G74)*C74</f>
        <v>58291.00190000001</v>
      </c>
      <c r="M74" s="41">
        <f>ROUND((K74-E74)*'x-rates'!C368/1000,0)</f>
        <v>4151</v>
      </c>
    </row>
    <row r="76" spans="1:21">
      <c r="A76" s="2" t="s">
        <v>2948</v>
      </c>
      <c r="C76" s="41">
        <v>12500000</v>
      </c>
      <c r="I76" s="620">
        <v>-1.5E-3</v>
      </c>
      <c r="K76" s="608" t="s">
        <v>2562</v>
      </c>
    </row>
    <row r="77" spans="1:21">
      <c r="A77" s="2" t="s">
        <v>2949</v>
      </c>
      <c r="C77" s="41">
        <v>14906984.380000001</v>
      </c>
      <c r="I77" s="589">
        <f>0.15%</f>
        <v>1.5E-3</v>
      </c>
      <c r="K77" s="41">
        <f>(G74-I77)*C74</f>
        <v>42645.603430000003</v>
      </c>
      <c r="M77" s="41">
        <f>ROUND((K77-E74)*'x-rates'!C368/1000,0)</f>
        <v>-1245</v>
      </c>
    </row>
    <row r="79" spans="1:21">
      <c r="B79" s="44" t="s">
        <v>2931</v>
      </c>
    </row>
    <row r="80" spans="1:21">
      <c r="B80" s="611"/>
    </row>
    <row r="81" spans="2:12" ht="13.5" thickBot="1">
      <c r="D81" s="1006" t="s">
        <v>2933</v>
      </c>
      <c r="E81" s="1006"/>
      <c r="F81" s="1006" t="s">
        <v>2934</v>
      </c>
      <c r="G81" s="1006"/>
    </row>
    <row r="82" spans="2:12" s="582" customFormat="1" ht="24.75" thickBot="1">
      <c r="D82" s="621" t="s">
        <v>2932</v>
      </c>
      <c r="E82" s="621" t="s">
        <v>389</v>
      </c>
      <c r="F82" s="621" t="s">
        <v>2932</v>
      </c>
      <c r="G82" s="621" t="s">
        <v>389</v>
      </c>
      <c r="H82" s="664"/>
      <c r="I82" s="664"/>
      <c r="J82" s="664"/>
      <c r="K82" s="664"/>
      <c r="L82" s="664"/>
    </row>
    <row r="83" spans="2:12" s="582" customFormat="1">
      <c r="B83" s="622" t="s">
        <v>2935</v>
      </c>
      <c r="C83" s="2"/>
      <c r="D83" s="41">
        <v>10800788</v>
      </c>
      <c r="E83" s="41">
        <v>1432</v>
      </c>
      <c r="F83" s="623">
        <v>70546</v>
      </c>
      <c r="G83" s="623">
        <v>0</v>
      </c>
      <c r="H83" s="700"/>
      <c r="I83" s="700"/>
      <c r="J83" s="721"/>
      <c r="K83" s="687"/>
      <c r="L83" s="687"/>
    </row>
    <row r="84" spans="2:12">
      <c r="B84" s="622" t="s">
        <v>2936</v>
      </c>
      <c r="D84" s="41">
        <v>7660710</v>
      </c>
      <c r="E84" s="41">
        <v>15991</v>
      </c>
      <c r="F84" s="623">
        <v>678177</v>
      </c>
      <c r="G84" s="623">
        <v>0</v>
      </c>
      <c r="H84" s="700"/>
      <c r="I84" s="700"/>
      <c r="J84" s="721"/>
      <c r="K84" s="687"/>
      <c r="L84" s="687"/>
    </row>
    <row r="85" spans="2:12">
      <c r="B85" s="624" t="s">
        <v>2937</v>
      </c>
      <c r="D85" s="41">
        <v>117394</v>
      </c>
      <c r="E85" s="41">
        <f>144706-428</f>
        <v>144278</v>
      </c>
      <c r="F85" s="623">
        <v>230305</v>
      </c>
      <c r="G85" s="623">
        <v>7521</v>
      </c>
      <c r="H85" s="700"/>
      <c r="I85" s="700"/>
      <c r="J85" s="721"/>
      <c r="K85" s="687"/>
      <c r="L85" s="687"/>
    </row>
    <row r="86" spans="2:12">
      <c r="B86" s="622" t="s">
        <v>2938</v>
      </c>
      <c r="D86" s="41">
        <v>13</v>
      </c>
      <c r="E86" s="41">
        <v>0</v>
      </c>
      <c r="F86" s="623">
        <v>37</v>
      </c>
      <c r="G86" s="623">
        <v>0</v>
      </c>
      <c r="H86" s="700"/>
      <c r="I86" s="700"/>
      <c r="J86" s="721"/>
      <c r="K86" s="687"/>
      <c r="L86" s="687"/>
    </row>
    <row r="87" spans="2:12">
      <c r="B87" s="622" t="s">
        <v>2939</v>
      </c>
      <c r="D87" s="41">
        <v>0</v>
      </c>
      <c r="E87" s="41">
        <v>0</v>
      </c>
      <c r="F87" s="623">
        <v>2168</v>
      </c>
      <c r="G87" s="623">
        <v>1451</v>
      </c>
      <c r="H87" s="673"/>
      <c r="I87" s="673"/>
      <c r="J87" s="721"/>
      <c r="K87" s="687"/>
      <c r="L87" s="687"/>
    </row>
    <row r="88" spans="2:12" ht="13.5" thickBot="1">
      <c r="D88" s="137">
        <f>SUM(D83:D87)</f>
        <v>18578905</v>
      </c>
      <c r="E88" s="137">
        <f t="shared" ref="E88:G88" si="2">SUM(E83:E87)</f>
        <v>161701</v>
      </c>
      <c r="F88" s="137">
        <f t="shared" si="2"/>
        <v>981233</v>
      </c>
      <c r="G88" s="137">
        <f t="shared" si="2"/>
        <v>8972</v>
      </c>
      <c r="H88" s="700"/>
      <c r="I88" s="700"/>
      <c r="J88" s="721"/>
      <c r="K88" s="687"/>
      <c r="L88" s="673"/>
    </row>
    <row r="89" spans="2:12" s="218" customFormat="1" ht="13.5" thickTop="1">
      <c r="C89" s="61" t="s">
        <v>43</v>
      </c>
      <c r="D89" s="62">
        <f>'14'!D10-'14'!D7-D88</f>
        <v>-12409323</v>
      </c>
      <c r="E89" s="62" t="e">
        <f>ББ!#REF!-E88</f>
        <v>#REF!</v>
      </c>
      <c r="F89" s="62">
        <f>'14'!F10-'14'!F7-F88</f>
        <v>17597672</v>
      </c>
      <c r="G89" s="62">
        <f>ББ!F17-G88</f>
        <v>152729</v>
      </c>
      <c r="H89" s="633"/>
      <c r="I89" s="633"/>
      <c r="J89" s="633"/>
      <c r="K89" s="633"/>
      <c r="L89" s="633"/>
    </row>
    <row r="90" spans="2:12">
      <c r="H90" s="673"/>
      <c r="I90" s="673"/>
      <c r="J90" s="673"/>
      <c r="K90" s="673"/>
      <c r="L90" s="673"/>
    </row>
    <row r="91" spans="2:12">
      <c r="H91" s="673"/>
      <c r="I91" s="673"/>
      <c r="J91" s="673"/>
      <c r="K91" s="673"/>
    </row>
  </sheetData>
  <mergeCells count="15">
    <mergeCell ref="D81:E81"/>
    <mergeCell ref="F81:G81"/>
    <mergeCell ref="D8:E9"/>
    <mergeCell ref="G8:H9"/>
    <mergeCell ref="J8:K9"/>
    <mergeCell ref="D20:E20"/>
    <mergeCell ref="G20:H20"/>
    <mergeCell ref="J20:K20"/>
    <mergeCell ref="J26:K26"/>
    <mergeCell ref="D46:G46"/>
    <mergeCell ref="K46:N46"/>
    <mergeCell ref="E61:F61"/>
    <mergeCell ref="G61:H61"/>
    <mergeCell ref="D26:E26"/>
    <mergeCell ref="G26:H26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J12"/>
  <sheetViews>
    <sheetView zoomScale="70" zoomScaleNormal="70" workbookViewId="0">
      <selection activeCell="C368" sqref="C368"/>
    </sheetView>
  </sheetViews>
  <sheetFormatPr defaultRowHeight="15"/>
  <cols>
    <col min="2" max="2" width="17.42578125" customWidth="1"/>
    <col min="3" max="3" width="23.5703125" customWidth="1"/>
    <col min="4" max="4" width="4.28515625" customWidth="1"/>
    <col min="5" max="5" width="34.28515625" customWidth="1"/>
    <col min="7" max="7" width="14" customWidth="1"/>
  </cols>
  <sheetData>
    <row r="1" spans="2:10">
      <c r="J1" t="s">
        <v>461</v>
      </c>
    </row>
    <row r="2" spans="2:10" ht="60">
      <c r="B2" s="124" t="s">
        <v>2553</v>
      </c>
      <c r="C2" s="124" t="s">
        <v>689</v>
      </c>
      <c r="E2" s="266" t="s">
        <v>2951</v>
      </c>
      <c r="G2" s="266" t="s">
        <v>2952</v>
      </c>
    </row>
    <row r="3" spans="2:10">
      <c r="B3" s="124" t="s">
        <v>14</v>
      </c>
    </row>
    <row r="4" spans="2:10">
      <c r="B4" s="652" t="s">
        <v>389</v>
      </c>
      <c r="C4" s="653">
        <f>ББ!F17</f>
        <v>161701</v>
      </c>
      <c r="D4" s="5"/>
      <c r="E4" s="653">
        <v>-1193</v>
      </c>
      <c r="F4" s="5"/>
      <c r="G4" s="653">
        <f>E4+C4</f>
        <v>160508</v>
      </c>
    </row>
    <row r="5" spans="2:10">
      <c r="C5" s="5"/>
      <c r="D5" s="5"/>
      <c r="E5" s="5"/>
      <c r="F5" s="5"/>
      <c r="G5" s="5"/>
    </row>
    <row r="6" spans="2:10">
      <c r="B6" s="124" t="s">
        <v>2555</v>
      </c>
      <c r="C6" s="5"/>
      <c r="D6" s="5"/>
      <c r="E6" s="5"/>
      <c r="F6" s="5"/>
      <c r="G6" s="5"/>
    </row>
    <row r="7" spans="2:10">
      <c r="B7" t="s">
        <v>19</v>
      </c>
      <c r="C7" s="5">
        <f>ББ!F25</f>
        <v>1622694</v>
      </c>
      <c r="D7" s="5"/>
      <c r="E7" s="126">
        <v>-67823</v>
      </c>
      <c r="F7" s="5"/>
      <c r="G7" s="442">
        <f>E7+C7</f>
        <v>1554871</v>
      </c>
    </row>
    <row r="8" spans="2:10">
      <c r="B8" s="654" t="s">
        <v>24</v>
      </c>
      <c r="C8" s="653">
        <f>ББ!F29</f>
        <v>18584585</v>
      </c>
      <c r="D8" s="5"/>
      <c r="E8" s="653">
        <v>-885</v>
      </c>
      <c r="F8" s="5"/>
      <c r="G8" s="653">
        <f>E8+C8</f>
        <v>18583700</v>
      </c>
    </row>
    <row r="9" spans="2:10">
      <c r="C9" s="5"/>
      <c r="D9" s="5"/>
      <c r="E9" s="442"/>
      <c r="F9" s="442"/>
      <c r="G9" s="442"/>
    </row>
    <row r="10" spans="2:10">
      <c r="C10" s="5"/>
      <c r="D10" s="5"/>
      <c r="E10" s="5"/>
      <c r="F10" s="5"/>
      <c r="G10" s="5"/>
    </row>
    <row r="11" spans="2:10">
      <c r="B11" s="124" t="s">
        <v>2556</v>
      </c>
      <c r="C11" s="5"/>
      <c r="D11" s="5"/>
      <c r="E11" s="5"/>
      <c r="F11" s="5"/>
      <c r="G11" s="5"/>
    </row>
    <row r="12" spans="2:10">
      <c r="B12" s="654" t="s">
        <v>2557</v>
      </c>
      <c r="C12" s="653">
        <f>ББ!F39</f>
        <v>22034387</v>
      </c>
      <c r="D12" s="5"/>
      <c r="E12" s="653">
        <f>SUM(E4:E10)</f>
        <v>-69901</v>
      </c>
      <c r="F12" s="5"/>
      <c r="G12" s="653">
        <f>E12+C12</f>
        <v>21964486</v>
      </c>
      <c r="H12" s="5">
        <f>G12-СК!H11</f>
        <v>49860908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8"/>
  <sheetViews>
    <sheetView workbookViewId="0">
      <selection activeCell="C368" sqref="C368"/>
    </sheetView>
  </sheetViews>
  <sheetFormatPr defaultRowHeight="15"/>
  <sheetData>
    <row r="1" spans="1:3">
      <c r="A1" s="657" t="s">
        <v>2564</v>
      </c>
      <c r="B1" s="657" t="s">
        <v>2565</v>
      </c>
      <c r="C1" s="657" t="s">
        <v>713</v>
      </c>
    </row>
    <row r="2" spans="1:3">
      <c r="A2" s="619" t="s">
        <v>2566</v>
      </c>
      <c r="B2" s="619">
        <v>1</v>
      </c>
      <c r="C2" s="619">
        <v>332.33</v>
      </c>
    </row>
    <row r="3" spans="1:3">
      <c r="A3" s="619" t="s">
        <v>2567</v>
      </c>
      <c r="B3" s="619">
        <v>1</v>
      </c>
      <c r="C3" s="619">
        <v>332.33</v>
      </c>
    </row>
    <row r="4" spans="1:3">
      <c r="A4" s="619" t="s">
        <v>2568</v>
      </c>
      <c r="B4" s="619">
        <v>1</v>
      </c>
      <c r="C4" s="619">
        <v>332.33</v>
      </c>
    </row>
    <row r="5" spans="1:3">
      <c r="A5" s="619" t="s">
        <v>2569</v>
      </c>
      <c r="B5" s="619">
        <v>1</v>
      </c>
      <c r="C5" s="619">
        <v>333.29</v>
      </c>
    </row>
    <row r="6" spans="1:3">
      <c r="A6" s="619" t="s">
        <v>2570</v>
      </c>
      <c r="B6" s="619">
        <v>1</v>
      </c>
      <c r="C6" s="619">
        <v>332.42</v>
      </c>
    </row>
    <row r="7" spans="1:3">
      <c r="A7" s="619" t="s">
        <v>2571</v>
      </c>
      <c r="B7" s="619">
        <v>1</v>
      </c>
      <c r="C7" s="619">
        <v>330.13</v>
      </c>
    </row>
    <row r="8" spans="1:3">
      <c r="A8" s="619" t="s">
        <v>2572</v>
      </c>
      <c r="B8" s="619">
        <v>1</v>
      </c>
      <c r="C8" s="619">
        <v>330.13</v>
      </c>
    </row>
    <row r="9" spans="1:3">
      <c r="A9" s="619" t="s">
        <v>2573</v>
      </c>
      <c r="B9" s="619">
        <v>1</v>
      </c>
      <c r="C9" s="619">
        <v>330.13</v>
      </c>
    </row>
    <row r="10" spans="1:3">
      <c r="A10" s="619" t="s">
        <v>2574</v>
      </c>
      <c r="B10" s="619">
        <v>1</v>
      </c>
      <c r="C10" s="619">
        <v>330.43</v>
      </c>
    </row>
    <row r="11" spans="1:3">
      <c r="A11" s="619" t="s">
        <v>2575</v>
      </c>
      <c r="B11" s="619">
        <v>1</v>
      </c>
      <c r="C11" s="619">
        <v>330.26</v>
      </c>
    </row>
    <row r="12" spans="1:3">
      <c r="A12" s="619" t="s">
        <v>2576</v>
      </c>
      <c r="B12" s="619">
        <v>1</v>
      </c>
      <c r="C12" s="619">
        <v>330.16</v>
      </c>
    </row>
    <row r="13" spans="1:3">
      <c r="A13" s="619" t="s">
        <v>2577</v>
      </c>
      <c r="B13" s="619">
        <v>1</v>
      </c>
      <c r="C13" s="619">
        <v>330.61</v>
      </c>
    </row>
    <row r="14" spans="1:3">
      <c r="A14" s="619" t="s">
        <v>2578</v>
      </c>
      <c r="B14" s="619">
        <v>1</v>
      </c>
      <c r="C14" s="619">
        <v>329.67</v>
      </c>
    </row>
    <row r="15" spans="1:3">
      <c r="A15" s="619" t="s">
        <v>2579</v>
      </c>
      <c r="B15" s="619">
        <v>1</v>
      </c>
      <c r="C15" s="619">
        <v>329.67</v>
      </c>
    </row>
    <row r="16" spans="1:3">
      <c r="A16" s="619" t="s">
        <v>2580</v>
      </c>
      <c r="B16" s="619">
        <v>1</v>
      </c>
      <c r="C16" s="619">
        <v>329.67</v>
      </c>
    </row>
    <row r="17" spans="1:3">
      <c r="A17" s="619" t="s">
        <v>2581</v>
      </c>
      <c r="B17" s="619">
        <v>1</v>
      </c>
      <c r="C17" s="619">
        <v>329.41</v>
      </c>
    </row>
    <row r="18" spans="1:3">
      <c r="A18" s="619" t="s">
        <v>2582</v>
      </c>
      <c r="B18" s="619">
        <v>1</v>
      </c>
      <c r="C18" s="619">
        <v>327.89</v>
      </c>
    </row>
    <row r="19" spans="1:3">
      <c r="A19" s="619" t="s">
        <v>2583</v>
      </c>
      <c r="B19" s="619">
        <v>1</v>
      </c>
      <c r="C19" s="619">
        <v>327.10000000000002</v>
      </c>
    </row>
    <row r="20" spans="1:3">
      <c r="A20" s="619" t="s">
        <v>2584</v>
      </c>
      <c r="B20" s="619">
        <v>1</v>
      </c>
      <c r="C20" s="619">
        <v>325.2</v>
      </c>
    </row>
    <row r="21" spans="1:3">
      <c r="A21" s="619" t="s">
        <v>2585</v>
      </c>
      <c r="B21" s="619">
        <v>1</v>
      </c>
      <c r="C21" s="619">
        <v>324.27</v>
      </c>
    </row>
    <row r="22" spans="1:3">
      <c r="A22" s="619" t="s">
        <v>2586</v>
      </c>
      <c r="B22" s="619">
        <v>1</v>
      </c>
      <c r="C22" s="619">
        <v>324.27</v>
      </c>
    </row>
    <row r="23" spans="1:3">
      <c r="A23" s="619" t="s">
        <v>2587</v>
      </c>
      <c r="B23" s="619">
        <v>1</v>
      </c>
      <c r="C23" s="619">
        <v>324.27</v>
      </c>
    </row>
    <row r="24" spans="1:3">
      <c r="A24" s="619" t="s">
        <v>2588</v>
      </c>
      <c r="B24" s="619">
        <v>1</v>
      </c>
      <c r="C24" s="619">
        <v>324.64999999999998</v>
      </c>
    </row>
    <row r="25" spans="1:3">
      <c r="A25" s="619" t="s">
        <v>2589</v>
      </c>
      <c r="B25" s="619">
        <v>1</v>
      </c>
      <c r="C25" s="619">
        <v>323.2</v>
      </c>
    </row>
    <row r="26" spans="1:3">
      <c r="A26" s="619" t="s">
        <v>2590</v>
      </c>
      <c r="B26" s="619">
        <v>1</v>
      </c>
      <c r="C26" s="619">
        <v>321.07</v>
      </c>
    </row>
    <row r="27" spans="1:3">
      <c r="A27" s="619" t="s">
        <v>2591</v>
      </c>
      <c r="B27" s="619">
        <v>1</v>
      </c>
      <c r="C27" s="619">
        <v>319.83</v>
      </c>
    </row>
    <row r="28" spans="1:3">
      <c r="A28" s="619" t="s">
        <v>2592</v>
      </c>
      <c r="B28" s="619">
        <v>1</v>
      </c>
      <c r="C28" s="619">
        <v>320.66000000000003</v>
      </c>
    </row>
    <row r="29" spans="1:3">
      <c r="A29" s="619" t="s">
        <v>2593</v>
      </c>
      <c r="B29" s="619">
        <v>1</v>
      </c>
      <c r="C29" s="619">
        <v>320.66000000000003</v>
      </c>
    </row>
    <row r="30" spans="1:3">
      <c r="A30" s="619" t="s">
        <v>2594</v>
      </c>
      <c r="B30" s="619">
        <v>1</v>
      </c>
      <c r="C30" s="619">
        <v>320.66000000000003</v>
      </c>
    </row>
    <row r="31" spans="1:3">
      <c r="A31" s="619" t="s">
        <v>2595</v>
      </c>
      <c r="B31" s="619">
        <v>1</v>
      </c>
      <c r="C31" s="619">
        <v>322.25</v>
      </c>
    </row>
    <row r="32" spans="1:3">
      <c r="A32" s="619" t="s">
        <v>2596</v>
      </c>
      <c r="B32" s="619">
        <v>1</v>
      </c>
      <c r="C32" s="619">
        <v>322.43</v>
      </c>
    </row>
    <row r="33" spans="1:3">
      <c r="A33" s="619" t="s">
        <v>2597</v>
      </c>
      <c r="B33" s="619">
        <v>1</v>
      </c>
      <c r="C33" s="619">
        <v>322.89999999999998</v>
      </c>
    </row>
    <row r="34" spans="1:3">
      <c r="A34" s="619" t="s">
        <v>2598</v>
      </c>
      <c r="B34" s="619">
        <v>1</v>
      </c>
      <c r="C34" s="619">
        <v>322.73</v>
      </c>
    </row>
    <row r="35" spans="1:3">
      <c r="A35" s="619" t="s">
        <v>2599</v>
      </c>
      <c r="B35" s="619">
        <v>1</v>
      </c>
      <c r="C35" s="619">
        <v>321.62</v>
      </c>
    </row>
    <row r="36" spans="1:3">
      <c r="A36" s="619" t="s">
        <v>2600</v>
      </c>
      <c r="B36" s="619">
        <v>1</v>
      </c>
      <c r="C36" s="619">
        <v>321.62</v>
      </c>
    </row>
    <row r="37" spans="1:3">
      <c r="A37" s="619" t="s">
        <v>2601</v>
      </c>
      <c r="B37" s="619">
        <v>1</v>
      </c>
      <c r="C37" s="619">
        <v>321.62</v>
      </c>
    </row>
    <row r="38" spans="1:3">
      <c r="A38" s="619" t="s">
        <v>2602</v>
      </c>
      <c r="B38" s="619">
        <v>1</v>
      </c>
      <c r="C38" s="619">
        <v>322.33</v>
      </c>
    </row>
    <row r="39" spans="1:3">
      <c r="A39" s="619" t="s">
        <v>2603</v>
      </c>
      <c r="B39" s="619">
        <v>1</v>
      </c>
      <c r="C39" s="619">
        <v>324.06</v>
      </c>
    </row>
    <row r="40" spans="1:3">
      <c r="A40" s="619" t="s">
        <v>2604</v>
      </c>
      <c r="B40" s="619">
        <v>1</v>
      </c>
      <c r="C40" s="619">
        <v>323.83999999999997</v>
      </c>
    </row>
    <row r="41" spans="1:3">
      <c r="A41" s="619" t="s">
        <v>2605</v>
      </c>
      <c r="B41" s="619">
        <v>1</v>
      </c>
      <c r="C41" s="619">
        <v>325.35000000000002</v>
      </c>
    </row>
    <row r="42" spans="1:3">
      <c r="A42" s="619" t="s">
        <v>2606</v>
      </c>
      <c r="B42" s="619">
        <v>1</v>
      </c>
      <c r="C42" s="619">
        <v>327.32</v>
      </c>
    </row>
    <row r="43" spans="1:3">
      <c r="A43" s="619" t="s">
        <v>2607</v>
      </c>
      <c r="B43" s="619">
        <v>1</v>
      </c>
      <c r="C43" s="619">
        <v>327.32</v>
      </c>
    </row>
    <row r="44" spans="1:3">
      <c r="A44" s="619" t="s">
        <v>2608</v>
      </c>
      <c r="B44" s="619">
        <v>1</v>
      </c>
      <c r="C44" s="619">
        <v>327.32</v>
      </c>
    </row>
    <row r="45" spans="1:3">
      <c r="A45" s="619" t="s">
        <v>2609</v>
      </c>
      <c r="B45" s="619">
        <v>1</v>
      </c>
      <c r="C45" s="619">
        <v>326.7</v>
      </c>
    </row>
    <row r="46" spans="1:3">
      <c r="A46" s="619" t="s">
        <v>2610</v>
      </c>
      <c r="B46" s="619">
        <v>1</v>
      </c>
      <c r="C46" s="619">
        <v>324.20999999999998</v>
      </c>
    </row>
    <row r="47" spans="1:3">
      <c r="A47" s="619" t="s">
        <v>2611</v>
      </c>
      <c r="B47" s="619">
        <v>1</v>
      </c>
      <c r="C47" s="619">
        <v>322.55</v>
      </c>
    </row>
    <row r="48" spans="1:3">
      <c r="A48" s="619" t="s">
        <v>2612</v>
      </c>
      <c r="B48" s="619">
        <v>1</v>
      </c>
      <c r="C48" s="619">
        <v>320.42</v>
      </c>
    </row>
    <row r="49" spans="1:3">
      <c r="A49" s="619" t="s">
        <v>2613</v>
      </c>
      <c r="B49" s="619">
        <v>1</v>
      </c>
      <c r="C49" s="619">
        <v>319.42</v>
      </c>
    </row>
    <row r="50" spans="1:3">
      <c r="A50" s="619" t="s">
        <v>2614</v>
      </c>
      <c r="B50" s="619">
        <v>1</v>
      </c>
      <c r="C50" s="619">
        <v>319.42</v>
      </c>
    </row>
    <row r="51" spans="1:3">
      <c r="A51" s="619" t="s">
        <v>2615</v>
      </c>
      <c r="B51" s="619">
        <v>1</v>
      </c>
      <c r="C51" s="619">
        <v>319.42</v>
      </c>
    </row>
    <row r="52" spans="1:3">
      <c r="A52" s="619" t="s">
        <v>2616</v>
      </c>
      <c r="B52" s="619">
        <v>1</v>
      </c>
      <c r="C52" s="619">
        <v>319.32</v>
      </c>
    </row>
    <row r="53" spans="1:3">
      <c r="A53" s="619" t="s">
        <v>2617</v>
      </c>
      <c r="B53" s="619">
        <v>1</v>
      </c>
      <c r="C53" s="619">
        <v>318.99</v>
      </c>
    </row>
    <row r="54" spans="1:3">
      <c r="A54" s="619" t="s">
        <v>2618</v>
      </c>
      <c r="B54" s="619">
        <v>1</v>
      </c>
      <c r="C54" s="619">
        <v>319.88</v>
      </c>
    </row>
    <row r="55" spans="1:3">
      <c r="A55" s="619" t="s">
        <v>2619</v>
      </c>
      <c r="B55" s="619">
        <v>1</v>
      </c>
      <c r="C55" s="619">
        <v>319.68</v>
      </c>
    </row>
    <row r="56" spans="1:3">
      <c r="A56" s="619" t="s">
        <v>2620</v>
      </c>
      <c r="B56" s="619">
        <v>1</v>
      </c>
      <c r="C56" s="619">
        <v>319.64999999999998</v>
      </c>
    </row>
    <row r="57" spans="1:3">
      <c r="A57" s="619" t="s">
        <v>2621</v>
      </c>
      <c r="B57" s="619">
        <v>1</v>
      </c>
      <c r="C57" s="619">
        <v>319.64999999999998</v>
      </c>
    </row>
    <row r="58" spans="1:3">
      <c r="A58" s="619" t="s">
        <v>2622</v>
      </c>
      <c r="B58" s="619">
        <v>1</v>
      </c>
      <c r="C58" s="619">
        <v>319.64999999999998</v>
      </c>
    </row>
    <row r="59" spans="1:3">
      <c r="A59" s="619" t="s">
        <v>2623</v>
      </c>
      <c r="B59" s="619">
        <v>1</v>
      </c>
      <c r="C59" s="619">
        <v>318.91000000000003</v>
      </c>
    </row>
    <row r="60" spans="1:3">
      <c r="A60" s="619" t="s">
        <v>2624</v>
      </c>
      <c r="B60" s="619">
        <v>1</v>
      </c>
      <c r="C60" s="619">
        <v>318.68</v>
      </c>
    </row>
    <row r="61" spans="1:3">
      <c r="A61" s="619" t="s">
        <v>2625</v>
      </c>
      <c r="B61" s="619">
        <v>1</v>
      </c>
      <c r="C61" s="619">
        <v>320.3</v>
      </c>
    </row>
    <row r="62" spans="1:3">
      <c r="A62" s="619" t="s">
        <v>2626</v>
      </c>
      <c r="B62" s="619">
        <v>1</v>
      </c>
      <c r="C62" s="619">
        <v>321.33999999999997</v>
      </c>
    </row>
    <row r="63" spans="1:3">
      <c r="A63" s="619" t="s">
        <v>2627</v>
      </c>
      <c r="B63" s="619">
        <v>1</v>
      </c>
      <c r="C63" s="619">
        <v>322.39</v>
      </c>
    </row>
    <row r="64" spans="1:3">
      <c r="A64" s="619" t="s">
        <v>2628</v>
      </c>
      <c r="B64" s="619">
        <v>1</v>
      </c>
      <c r="C64" s="619">
        <v>322.2</v>
      </c>
    </row>
    <row r="65" spans="1:3">
      <c r="A65" s="619" t="s">
        <v>2629</v>
      </c>
      <c r="B65" s="619">
        <v>1</v>
      </c>
      <c r="C65" s="619">
        <v>322.2</v>
      </c>
    </row>
    <row r="66" spans="1:3">
      <c r="A66" s="619" t="s">
        <v>2630</v>
      </c>
      <c r="B66" s="619">
        <v>1</v>
      </c>
      <c r="C66" s="619">
        <v>321.26</v>
      </c>
    </row>
    <row r="67" spans="1:3">
      <c r="A67" s="619" t="s">
        <v>2631</v>
      </c>
      <c r="B67" s="619">
        <v>1</v>
      </c>
      <c r="C67" s="619">
        <v>319.45</v>
      </c>
    </row>
    <row r="68" spans="1:3">
      <c r="A68" s="619" t="s">
        <v>2632</v>
      </c>
      <c r="B68" s="619">
        <v>1</v>
      </c>
      <c r="C68" s="619">
        <v>320.19</v>
      </c>
    </row>
    <row r="69" spans="1:3">
      <c r="A69" s="619" t="s">
        <v>2633</v>
      </c>
      <c r="B69" s="619">
        <v>1</v>
      </c>
      <c r="C69" s="619">
        <v>320.19</v>
      </c>
    </row>
    <row r="70" spans="1:3">
      <c r="A70" s="619" t="s">
        <v>2634</v>
      </c>
      <c r="B70" s="619">
        <v>1</v>
      </c>
      <c r="C70" s="619">
        <v>320.19</v>
      </c>
    </row>
    <row r="71" spans="1:3">
      <c r="A71" s="619" t="s">
        <v>2635</v>
      </c>
      <c r="B71" s="619">
        <v>1</v>
      </c>
      <c r="C71" s="619">
        <v>320.19</v>
      </c>
    </row>
    <row r="72" spans="1:3">
      <c r="A72" s="619" t="s">
        <v>2636</v>
      </c>
      <c r="B72" s="619">
        <v>1</v>
      </c>
      <c r="C72" s="619">
        <v>320.19</v>
      </c>
    </row>
    <row r="73" spans="1:3">
      <c r="A73" s="619" t="s">
        <v>2637</v>
      </c>
      <c r="B73" s="619">
        <v>1</v>
      </c>
      <c r="C73" s="619">
        <v>320.55</v>
      </c>
    </row>
    <row r="74" spans="1:3">
      <c r="A74" s="619" t="s">
        <v>2638</v>
      </c>
      <c r="B74" s="619">
        <v>1</v>
      </c>
      <c r="C74" s="619">
        <v>321.60000000000002</v>
      </c>
    </row>
    <row r="75" spans="1:3">
      <c r="A75" s="619" t="s">
        <v>2639</v>
      </c>
      <c r="B75" s="619">
        <v>1</v>
      </c>
      <c r="C75" s="619">
        <v>321.98</v>
      </c>
    </row>
    <row r="76" spans="1:3">
      <c r="A76" s="619" t="s">
        <v>2640</v>
      </c>
      <c r="B76" s="619">
        <v>1</v>
      </c>
      <c r="C76" s="619">
        <v>321.77999999999997</v>
      </c>
    </row>
    <row r="77" spans="1:3">
      <c r="A77" s="619" t="s">
        <v>2641</v>
      </c>
      <c r="B77" s="619">
        <v>1</v>
      </c>
      <c r="C77" s="619">
        <v>322.72000000000003</v>
      </c>
    </row>
    <row r="78" spans="1:3">
      <c r="A78" s="619" t="s">
        <v>2642</v>
      </c>
      <c r="B78" s="619">
        <v>1</v>
      </c>
      <c r="C78" s="619">
        <v>322.72000000000003</v>
      </c>
    </row>
    <row r="79" spans="1:3">
      <c r="A79" s="619" t="s">
        <v>2643</v>
      </c>
      <c r="B79" s="619">
        <v>1</v>
      </c>
      <c r="C79" s="619">
        <v>322.72000000000003</v>
      </c>
    </row>
    <row r="80" spans="1:3">
      <c r="A80" s="619" t="s">
        <v>2644</v>
      </c>
      <c r="B80" s="619">
        <v>1</v>
      </c>
      <c r="C80" s="619">
        <v>320.60000000000002</v>
      </c>
    </row>
    <row r="81" spans="1:3">
      <c r="A81" s="619" t="s">
        <v>2645</v>
      </c>
      <c r="B81" s="619">
        <v>1</v>
      </c>
      <c r="C81" s="619">
        <v>320.33999999999997</v>
      </c>
    </row>
    <row r="82" spans="1:3">
      <c r="A82" s="619" t="s">
        <v>2646</v>
      </c>
      <c r="B82" s="619">
        <v>1</v>
      </c>
      <c r="C82" s="619">
        <v>320.33999999999997</v>
      </c>
    </row>
    <row r="83" spans="1:3">
      <c r="A83" s="619" t="s">
        <v>2647</v>
      </c>
      <c r="B83" s="619">
        <v>1</v>
      </c>
      <c r="C83" s="619">
        <v>320.33999999999997</v>
      </c>
    </row>
    <row r="84" spans="1:3">
      <c r="A84" s="619" t="s">
        <v>2648</v>
      </c>
      <c r="B84" s="619">
        <v>1</v>
      </c>
      <c r="C84" s="619">
        <v>320.33999999999997</v>
      </c>
    </row>
    <row r="85" spans="1:3">
      <c r="A85" s="619" t="s">
        <v>2649</v>
      </c>
      <c r="B85" s="619">
        <v>1</v>
      </c>
      <c r="C85" s="619">
        <v>320.33999999999997</v>
      </c>
    </row>
    <row r="86" spans="1:3">
      <c r="A86" s="619" t="s">
        <v>2650</v>
      </c>
      <c r="B86" s="619">
        <v>1</v>
      </c>
      <c r="C86" s="619">
        <v>320.33999999999997</v>
      </c>
    </row>
    <row r="87" spans="1:3">
      <c r="A87" s="619" t="s">
        <v>2651</v>
      </c>
      <c r="B87" s="619">
        <v>1</v>
      </c>
      <c r="C87" s="619">
        <v>319.26</v>
      </c>
    </row>
    <row r="88" spans="1:3">
      <c r="A88" s="619" t="s">
        <v>2652</v>
      </c>
      <c r="B88" s="619">
        <v>1</v>
      </c>
      <c r="C88" s="619">
        <v>318.89999999999998</v>
      </c>
    </row>
    <row r="89" spans="1:3">
      <c r="A89" s="619" t="s">
        <v>2653</v>
      </c>
      <c r="B89" s="619">
        <v>1</v>
      </c>
      <c r="C89" s="619">
        <v>319.33</v>
      </c>
    </row>
    <row r="90" spans="1:3">
      <c r="A90" s="619" t="s">
        <v>2654</v>
      </c>
      <c r="B90" s="619">
        <v>1</v>
      </c>
      <c r="C90" s="619">
        <v>319.02</v>
      </c>
    </row>
    <row r="91" spans="1:3">
      <c r="A91" s="619" t="s">
        <v>2655</v>
      </c>
      <c r="B91" s="619">
        <v>1</v>
      </c>
      <c r="C91" s="619">
        <v>318.31</v>
      </c>
    </row>
    <row r="92" spans="1:3">
      <c r="A92" s="619" t="s">
        <v>2656</v>
      </c>
      <c r="B92" s="619">
        <v>1</v>
      </c>
      <c r="C92" s="619">
        <v>318.31</v>
      </c>
    </row>
    <row r="93" spans="1:3">
      <c r="A93" s="619" t="s">
        <v>2657</v>
      </c>
      <c r="B93" s="619">
        <v>1</v>
      </c>
      <c r="C93" s="619">
        <v>318.31</v>
      </c>
    </row>
    <row r="94" spans="1:3">
      <c r="A94" s="619" t="s">
        <v>2658</v>
      </c>
      <c r="B94" s="619">
        <v>1</v>
      </c>
      <c r="C94" s="619">
        <v>319.24</v>
      </c>
    </row>
    <row r="95" spans="1:3">
      <c r="A95" s="619" t="s">
        <v>2659</v>
      </c>
      <c r="B95" s="619">
        <v>1</v>
      </c>
      <c r="C95" s="619">
        <v>320.37</v>
      </c>
    </row>
    <row r="96" spans="1:3">
      <c r="A96" s="619" t="s">
        <v>2660</v>
      </c>
      <c r="B96" s="619">
        <v>1</v>
      </c>
      <c r="C96" s="619">
        <v>319.88</v>
      </c>
    </row>
    <row r="97" spans="1:3">
      <c r="A97" s="619" t="s">
        <v>2661</v>
      </c>
      <c r="B97" s="619">
        <v>1</v>
      </c>
      <c r="C97" s="619">
        <v>319.68</v>
      </c>
    </row>
    <row r="98" spans="1:3">
      <c r="A98" s="619" t="s">
        <v>2662</v>
      </c>
      <c r="B98" s="619">
        <v>1</v>
      </c>
      <c r="C98" s="619">
        <v>319.66000000000003</v>
      </c>
    </row>
    <row r="99" spans="1:3">
      <c r="A99" s="619" t="s">
        <v>2663</v>
      </c>
      <c r="B99" s="619">
        <v>1</v>
      </c>
      <c r="C99" s="619">
        <v>319.66000000000003</v>
      </c>
    </row>
    <row r="100" spans="1:3">
      <c r="A100" s="619" t="s">
        <v>2664</v>
      </c>
      <c r="B100" s="619">
        <v>1</v>
      </c>
      <c r="C100" s="619">
        <v>319.66000000000003</v>
      </c>
    </row>
    <row r="101" spans="1:3">
      <c r="A101" s="619" t="s">
        <v>2665</v>
      </c>
      <c r="B101" s="619">
        <v>1</v>
      </c>
      <c r="C101" s="619">
        <v>320.29000000000002</v>
      </c>
    </row>
    <row r="102" spans="1:3">
      <c r="A102" s="619" t="s">
        <v>2666</v>
      </c>
      <c r="B102" s="619">
        <v>1</v>
      </c>
      <c r="C102" s="619">
        <v>325.37</v>
      </c>
    </row>
    <row r="103" spans="1:3">
      <c r="A103" s="619" t="s">
        <v>2667</v>
      </c>
      <c r="B103" s="619">
        <v>1</v>
      </c>
      <c r="C103" s="619">
        <v>330.88</v>
      </c>
    </row>
    <row r="104" spans="1:3">
      <c r="A104" s="619" t="s">
        <v>2668</v>
      </c>
      <c r="B104" s="619">
        <v>1</v>
      </c>
      <c r="C104" s="619">
        <v>329.61</v>
      </c>
    </row>
    <row r="105" spans="1:3">
      <c r="A105" s="619" t="s">
        <v>2669</v>
      </c>
      <c r="B105" s="619">
        <v>1</v>
      </c>
      <c r="C105" s="619">
        <v>327.29000000000002</v>
      </c>
    </row>
    <row r="106" spans="1:3">
      <c r="A106" s="619" t="s">
        <v>2670</v>
      </c>
      <c r="B106" s="619">
        <v>1</v>
      </c>
      <c r="C106" s="619">
        <v>327.29000000000002</v>
      </c>
    </row>
    <row r="107" spans="1:3">
      <c r="A107" s="619" t="s">
        <v>2671</v>
      </c>
      <c r="B107" s="619">
        <v>1</v>
      </c>
      <c r="C107" s="619">
        <v>327.29000000000002</v>
      </c>
    </row>
    <row r="108" spans="1:3">
      <c r="A108" s="619" t="s">
        <v>2672</v>
      </c>
      <c r="B108" s="619">
        <v>1</v>
      </c>
      <c r="C108" s="619">
        <v>330.02</v>
      </c>
    </row>
    <row r="109" spans="1:3">
      <c r="A109" s="619" t="s">
        <v>2673</v>
      </c>
      <c r="B109" s="619">
        <v>1</v>
      </c>
      <c r="C109" s="619">
        <v>328.12</v>
      </c>
    </row>
    <row r="110" spans="1:3">
      <c r="A110" s="619" t="s">
        <v>2674</v>
      </c>
      <c r="B110" s="619">
        <v>1</v>
      </c>
      <c r="C110" s="619">
        <v>327.87</v>
      </c>
    </row>
    <row r="111" spans="1:3">
      <c r="A111" s="619" t="s">
        <v>2675</v>
      </c>
      <c r="B111" s="619">
        <v>1</v>
      </c>
      <c r="C111" s="619">
        <v>325.79000000000002</v>
      </c>
    </row>
    <row r="112" spans="1:3">
      <c r="A112" s="619" t="s">
        <v>2676</v>
      </c>
      <c r="B112" s="619">
        <v>1</v>
      </c>
      <c r="C112" s="619">
        <v>326.17</v>
      </c>
    </row>
    <row r="113" spans="1:3">
      <c r="A113" s="619" t="s">
        <v>2677</v>
      </c>
      <c r="B113" s="619">
        <v>1</v>
      </c>
      <c r="C113" s="619">
        <v>326.17</v>
      </c>
    </row>
    <row r="114" spans="1:3">
      <c r="A114" s="619" t="s">
        <v>2678</v>
      </c>
      <c r="B114" s="619">
        <v>1</v>
      </c>
      <c r="C114" s="619">
        <v>326.17</v>
      </c>
    </row>
    <row r="115" spans="1:3">
      <c r="A115" s="619" t="s">
        <v>2679</v>
      </c>
      <c r="B115" s="619">
        <v>1</v>
      </c>
      <c r="C115" s="619">
        <v>326.52</v>
      </c>
    </row>
    <row r="116" spans="1:3">
      <c r="A116" s="619" t="s">
        <v>2680</v>
      </c>
      <c r="B116" s="619">
        <v>1</v>
      </c>
      <c r="C116" s="619">
        <v>325.8</v>
      </c>
    </row>
    <row r="117" spans="1:3">
      <c r="A117" s="619" t="s">
        <v>2681</v>
      </c>
      <c r="B117" s="619">
        <v>1</v>
      </c>
      <c r="C117" s="619">
        <v>326.27999999999997</v>
      </c>
    </row>
    <row r="118" spans="1:3">
      <c r="A118" s="619" t="s">
        <v>2682</v>
      </c>
      <c r="B118" s="619">
        <v>1</v>
      </c>
      <c r="C118" s="619">
        <v>327.92</v>
      </c>
    </row>
    <row r="119" spans="1:3">
      <c r="A119" s="619" t="s">
        <v>2683</v>
      </c>
      <c r="B119" s="619">
        <v>1</v>
      </c>
      <c r="C119" s="619">
        <v>327.72</v>
      </c>
    </row>
    <row r="120" spans="1:3">
      <c r="A120" s="619" t="s">
        <v>2684</v>
      </c>
      <c r="B120" s="619">
        <v>1</v>
      </c>
      <c r="C120" s="619">
        <v>327.25</v>
      </c>
    </row>
    <row r="121" spans="1:3">
      <c r="A121" s="619" t="s">
        <v>2685</v>
      </c>
      <c r="B121" s="619">
        <v>1</v>
      </c>
      <c r="C121" s="619">
        <v>327.25</v>
      </c>
    </row>
    <row r="122" spans="1:3">
      <c r="A122" s="619" t="s">
        <v>2686</v>
      </c>
      <c r="B122" s="619">
        <v>1</v>
      </c>
      <c r="C122" s="619">
        <v>327.25</v>
      </c>
    </row>
    <row r="123" spans="1:3">
      <c r="A123" s="619" t="s">
        <v>2687</v>
      </c>
      <c r="B123" s="619">
        <v>1</v>
      </c>
      <c r="C123" s="619">
        <v>327.25</v>
      </c>
    </row>
    <row r="124" spans="1:3">
      <c r="A124" s="619" t="s">
        <v>2688</v>
      </c>
      <c r="B124" s="619">
        <v>1</v>
      </c>
      <c r="C124" s="619">
        <v>329.99</v>
      </c>
    </row>
    <row r="125" spans="1:3">
      <c r="A125" s="619" t="s">
        <v>2689</v>
      </c>
      <c r="B125" s="619">
        <v>1</v>
      </c>
      <c r="C125" s="619">
        <v>330.72</v>
      </c>
    </row>
    <row r="126" spans="1:3">
      <c r="A126" s="619" t="s">
        <v>2690</v>
      </c>
      <c r="B126" s="619">
        <v>1</v>
      </c>
      <c r="C126" s="619">
        <v>328.99</v>
      </c>
    </row>
    <row r="127" spans="1:3">
      <c r="A127" s="619" t="s">
        <v>2691</v>
      </c>
      <c r="B127" s="619">
        <v>1</v>
      </c>
      <c r="C127" s="619">
        <v>328.85</v>
      </c>
    </row>
    <row r="128" spans="1:3">
      <c r="A128" s="619" t="s">
        <v>2692</v>
      </c>
      <c r="B128" s="619">
        <v>1</v>
      </c>
      <c r="C128" s="619">
        <v>328.85</v>
      </c>
    </row>
    <row r="129" spans="1:3">
      <c r="A129" s="619" t="s">
        <v>2693</v>
      </c>
      <c r="B129" s="619">
        <v>1</v>
      </c>
      <c r="C129" s="619">
        <v>328.85</v>
      </c>
    </row>
    <row r="130" spans="1:3">
      <c r="A130" s="619" t="s">
        <v>2694</v>
      </c>
      <c r="B130" s="619">
        <v>1</v>
      </c>
      <c r="C130" s="619">
        <v>328.85</v>
      </c>
    </row>
    <row r="131" spans="1:3">
      <c r="A131" s="619" t="s">
        <v>2695</v>
      </c>
      <c r="B131" s="619">
        <v>1</v>
      </c>
      <c r="C131" s="619">
        <v>328.85</v>
      </c>
    </row>
    <row r="132" spans="1:3">
      <c r="A132" s="619" t="s">
        <v>2696</v>
      </c>
      <c r="B132" s="619">
        <v>1</v>
      </c>
      <c r="C132" s="619">
        <v>327.63</v>
      </c>
    </row>
    <row r="133" spans="1:3">
      <c r="A133" s="619" t="s">
        <v>2697</v>
      </c>
      <c r="B133" s="619">
        <v>1</v>
      </c>
      <c r="C133" s="619">
        <v>326.39999999999998</v>
      </c>
    </row>
    <row r="134" spans="1:3">
      <c r="A134" s="619" t="s">
        <v>2698</v>
      </c>
      <c r="B134" s="619">
        <v>1</v>
      </c>
      <c r="C134" s="619">
        <v>326.39999999999998</v>
      </c>
    </row>
    <row r="135" spans="1:3">
      <c r="A135" s="619" t="s">
        <v>2699</v>
      </c>
      <c r="B135" s="619">
        <v>1</v>
      </c>
      <c r="C135" s="619">
        <v>326.39999999999998</v>
      </c>
    </row>
    <row r="136" spans="1:3">
      <c r="A136" s="619" t="s">
        <v>2700</v>
      </c>
      <c r="B136" s="619">
        <v>1</v>
      </c>
      <c r="C136" s="619">
        <v>327.85</v>
      </c>
    </row>
    <row r="137" spans="1:3">
      <c r="A137" s="619" t="s">
        <v>2701</v>
      </c>
      <c r="B137" s="619">
        <v>1</v>
      </c>
      <c r="C137" s="619">
        <v>327.77</v>
      </c>
    </row>
    <row r="138" spans="1:3">
      <c r="A138" s="619" t="s">
        <v>2702</v>
      </c>
      <c r="B138" s="619">
        <v>1</v>
      </c>
      <c r="C138" s="619">
        <v>329.16</v>
      </c>
    </row>
    <row r="139" spans="1:3">
      <c r="A139" s="619" t="s">
        <v>2703</v>
      </c>
      <c r="B139" s="619">
        <v>1</v>
      </c>
      <c r="C139" s="619">
        <v>327.11</v>
      </c>
    </row>
    <row r="140" spans="1:3">
      <c r="A140" s="619" t="s">
        <v>2704</v>
      </c>
      <c r="B140" s="619">
        <v>1</v>
      </c>
      <c r="C140" s="619">
        <v>328.31</v>
      </c>
    </row>
    <row r="141" spans="1:3">
      <c r="A141" s="619" t="s">
        <v>2705</v>
      </c>
      <c r="B141" s="619">
        <v>1</v>
      </c>
      <c r="C141" s="619">
        <v>328.31</v>
      </c>
    </row>
    <row r="142" spans="1:3">
      <c r="A142" s="619" t="s">
        <v>2706</v>
      </c>
      <c r="B142" s="619">
        <v>1</v>
      </c>
      <c r="C142" s="619">
        <v>328.31</v>
      </c>
    </row>
    <row r="143" spans="1:3">
      <c r="A143" s="619" t="s">
        <v>2707</v>
      </c>
      <c r="B143" s="619">
        <v>1</v>
      </c>
      <c r="C143" s="619">
        <v>328.95</v>
      </c>
    </row>
    <row r="144" spans="1:3">
      <c r="A144" s="619" t="s">
        <v>2708</v>
      </c>
      <c r="B144" s="619">
        <v>1</v>
      </c>
      <c r="C144" s="619">
        <v>327.11</v>
      </c>
    </row>
    <row r="145" spans="1:3">
      <c r="A145" s="619" t="s">
        <v>2709</v>
      </c>
      <c r="B145" s="619">
        <v>1</v>
      </c>
      <c r="C145" s="619">
        <v>326</v>
      </c>
    </row>
    <row r="146" spans="1:3">
      <c r="A146" s="619" t="s">
        <v>2710</v>
      </c>
      <c r="B146" s="619">
        <v>1</v>
      </c>
      <c r="C146" s="619">
        <v>325.75</v>
      </c>
    </row>
    <row r="147" spans="1:3">
      <c r="A147" s="619" t="s">
        <v>2711</v>
      </c>
      <c r="B147" s="619">
        <v>1</v>
      </c>
      <c r="C147" s="619">
        <v>327.42</v>
      </c>
    </row>
    <row r="148" spans="1:3">
      <c r="A148" s="619" t="s">
        <v>2712</v>
      </c>
      <c r="B148" s="619">
        <v>1</v>
      </c>
      <c r="C148" s="619">
        <v>327.42</v>
      </c>
    </row>
    <row r="149" spans="1:3">
      <c r="A149" s="619" t="s">
        <v>2713</v>
      </c>
      <c r="B149" s="619">
        <v>1</v>
      </c>
      <c r="C149" s="619">
        <v>327.42</v>
      </c>
    </row>
    <row r="150" spans="1:3">
      <c r="A150" s="619" t="s">
        <v>2714</v>
      </c>
      <c r="B150" s="619">
        <v>1</v>
      </c>
      <c r="C150" s="619">
        <v>329.81</v>
      </c>
    </row>
    <row r="151" spans="1:3">
      <c r="A151" s="619" t="s">
        <v>2715</v>
      </c>
      <c r="B151" s="619">
        <v>1</v>
      </c>
      <c r="C151" s="619">
        <v>329.38</v>
      </c>
    </row>
    <row r="152" spans="1:3">
      <c r="A152" s="619" t="s">
        <v>2716</v>
      </c>
      <c r="B152" s="619">
        <v>1</v>
      </c>
      <c r="C152" s="619">
        <v>330.67</v>
      </c>
    </row>
    <row r="153" spans="1:3">
      <c r="A153" s="619" t="s">
        <v>2717</v>
      </c>
      <c r="B153" s="619">
        <v>1</v>
      </c>
      <c r="C153" s="619">
        <v>329.35</v>
      </c>
    </row>
    <row r="154" spans="1:3">
      <c r="A154" s="619" t="s">
        <v>2718</v>
      </c>
      <c r="B154" s="619">
        <v>1</v>
      </c>
      <c r="C154" s="619">
        <v>330.78</v>
      </c>
    </row>
    <row r="155" spans="1:3">
      <c r="A155" s="619" t="s">
        <v>2719</v>
      </c>
      <c r="B155" s="619">
        <v>1</v>
      </c>
      <c r="C155" s="619">
        <v>330.78</v>
      </c>
    </row>
    <row r="156" spans="1:3">
      <c r="A156" s="619" t="s">
        <v>2720</v>
      </c>
      <c r="B156" s="619">
        <v>1</v>
      </c>
      <c r="C156" s="619">
        <v>330.78</v>
      </c>
    </row>
    <row r="157" spans="1:3">
      <c r="A157" s="619" t="s">
        <v>2721</v>
      </c>
      <c r="B157" s="619">
        <v>1</v>
      </c>
      <c r="C157" s="619">
        <v>330.73</v>
      </c>
    </row>
    <row r="158" spans="1:3">
      <c r="A158" s="619" t="s">
        <v>2722</v>
      </c>
      <c r="B158" s="619">
        <v>1</v>
      </c>
      <c r="C158" s="619">
        <v>330.91</v>
      </c>
    </row>
    <row r="159" spans="1:3">
      <c r="A159" s="619" t="s">
        <v>2723</v>
      </c>
      <c r="B159" s="619">
        <v>1</v>
      </c>
      <c r="C159" s="619">
        <v>331.83</v>
      </c>
    </row>
    <row r="160" spans="1:3">
      <c r="A160" s="619" t="s">
        <v>2724</v>
      </c>
      <c r="B160" s="619">
        <v>1</v>
      </c>
      <c r="C160" s="619">
        <v>333.08</v>
      </c>
    </row>
    <row r="161" spans="1:3">
      <c r="A161" s="619" t="s">
        <v>2725</v>
      </c>
      <c r="B161" s="619">
        <v>1</v>
      </c>
      <c r="C161" s="619">
        <v>334.02</v>
      </c>
    </row>
    <row r="162" spans="1:3">
      <c r="A162" s="619" t="s">
        <v>2726</v>
      </c>
      <c r="B162" s="619">
        <v>1</v>
      </c>
      <c r="C162" s="619">
        <v>334.02</v>
      </c>
    </row>
    <row r="163" spans="1:3">
      <c r="A163" s="619" t="s">
        <v>2727</v>
      </c>
      <c r="B163" s="619">
        <v>1</v>
      </c>
      <c r="C163" s="619">
        <v>334.02</v>
      </c>
    </row>
    <row r="164" spans="1:3">
      <c r="A164" s="619" t="s">
        <v>2728</v>
      </c>
      <c r="B164" s="619">
        <v>1</v>
      </c>
      <c r="C164" s="619">
        <v>333.8</v>
      </c>
    </row>
    <row r="165" spans="1:3">
      <c r="A165" s="619" t="s">
        <v>2729</v>
      </c>
      <c r="B165" s="619">
        <v>1</v>
      </c>
      <c r="C165" s="619">
        <v>334.5</v>
      </c>
    </row>
    <row r="166" spans="1:3">
      <c r="A166" s="619" t="s">
        <v>2730</v>
      </c>
      <c r="B166" s="619">
        <v>1</v>
      </c>
      <c r="C166" s="619">
        <v>335.67</v>
      </c>
    </row>
    <row r="167" spans="1:3">
      <c r="A167" s="619" t="s">
        <v>2731</v>
      </c>
      <c r="B167" s="619">
        <v>1</v>
      </c>
      <c r="C167" s="619">
        <v>335.99</v>
      </c>
    </row>
    <row r="168" spans="1:3">
      <c r="A168" s="619" t="s">
        <v>2732</v>
      </c>
      <c r="B168" s="619">
        <v>1</v>
      </c>
      <c r="C168" s="619">
        <v>336.39</v>
      </c>
    </row>
    <row r="169" spans="1:3">
      <c r="A169" s="619" t="s">
        <v>2733</v>
      </c>
      <c r="B169" s="619">
        <v>1</v>
      </c>
      <c r="C169" s="619">
        <v>336.39</v>
      </c>
    </row>
    <row r="170" spans="1:3">
      <c r="A170" s="619" t="s">
        <v>2734</v>
      </c>
      <c r="B170" s="619">
        <v>1</v>
      </c>
      <c r="C170" s="619">
        <v>336.39</v>
      </c>
    </row>
    <row r="171" spans="1:3">
      <c r="A171" s="619" t="s">
        <v>2735</v>
      </c>
      <c r="B171" s="619">
        <v>1</v>
      </c>
      <c r="C171" s="619">
        <v>338.78</v>
      </c>
    </row>
    <row r="172" spans="1:3">
      <c r="A172" s="619" t="s">
        <v>2736</v>
      </c>
      <c r="B172" s="619">
        <v>1</v>
      </c>
      <c r="C172" s="619">
        <v>339.95</v>
      </c>
    </row>
    <row r="173" spans="1:3">
      <c r="A173" s="619" t="s">
        <v>2737</v>
      </c>
      <c r="B173" s="619">
        <v>1</v>
      </c>
      <c r="C173" s="619">
        <v>341.08</v>
      </c>
    </row>
    <row r="174" spans="1:3">
      <c r="A174" s="619" t="s">
        <v>2738</v>
      </c>
      <c r="B174" s="619">
        <v>1</v>
      </c>
      <c r="C174" s="619">
        <v>341.18</v>
      </c>
    </row>
    <row r="175" spans="1:3">
      <c r="A175" s="619" t="s">
        <v>2739</v>
      </c>
      <c r="B175" s="619">
        <v>1</v>
      </c>
      <c r="C175" s="619">
        <v>340.27</v>
      </c>
    </row>
    <row r="176" spans="1:3">
      <c r="A176" s="619" t="s">
        <v>2740</v>
      </c>
      <c r="B176" s="619">
        <v>1</v>
      </c>
      <c r="C176" s="619">
        <v>340.27</v>
      </c>
    </row>
    <row r="177" spans="1:3">
      <c r="A177" s="619" t="s">
        <v>2741</v>
      </c>
      <c r="B177" s="619">
        <v>1</v>
      </c>
      <c r="C177" s="619">
        <v>340.27</v>
      </c>
    </row>
    <row r="178" spans="1:3">
      <c r="A178" s="619" t="s">
        <v>2742</v>
      </c>
      <c r="B178" s="619">
        <v>1</v>
      </c>
      <c r="C178" s="619">
        <v>339.5</v>
      </c>
    </row>
    <row r="179" spans="1:3">
      <c r="A179" s="619" t="s">
        <v>2743</v>
      </c>
      <c r="B179" s="619">
        <v>1</v>
      </c>
      <c r="C179" s="619">
        <v>338.84</v>
      </c>
    </row>
    <row r="180" spans="1:3">
      <c r="A180" s="619" t="s">
        <v>2744</v>
      </c>
      <c r="B180" s="619">
        <v>1</v>
      </c>
      <c r="C180" s="619">
        <v>340.44</v>
      </c>
    </row>
    <row r="181" spans="1:3">
      <c r="A181" s="619" t="s">
        <v>2745</v>
      </c>
      <c r="B181" s="619">
        <v>1</v>
      </c>
      <c r="C181" s="619">
        <v>341.31</v>
      </c>
    </row>
    <row r="182" spans="1:3">
      <c r="A182" s="619" t="s">
        <v>2746</v>
      </c>
      <c r="B182" s="619">
        <v>1</v>
      </c>
      <c r="C182" s="619">
        <v>341.08</v>
      </c>
    </row>
    <row r="183" spans="1:3">
      <c r="A183" s="619" t="s">
        <v>2747</v>
      </c>
      <c r="B183" s="619">
        <v>1</v>
      </c>
      <c r="C183" s="619">
        <v>341.08</v>
      </c>
    </row>
    <row r="184" spans="1:3">
      <c r="A184" s="619" t="s">
        <v>2748</v>
      </c>
      <c r="B184" s="619">
        <v>1</v>
      </c>
      <c r="C184" s="619">
        <v>341.08</v>
      </c>
    </row>
    <row r="185" spans="1:3">
      <c r="A185" s="619" t="s">
        <v>2749</v>
      </c>
      <c r="B185" s="619">
        <v>1</v>
      </c>
      <c r="C185" s="619">
        <v>341.62</v>
      </c>
    </row>
    <row r="186" spans="1:3">
      <c r="A186" s="619" t="s">
        <v>2750</v>
      </c>
      <c r="B186" s="619">
        <v>1</v>
      </c>
      <c r="C186" s="619">
        <v>343</v>
      </c>
    </row>
    <row r="187" spans="1:3">
      <c r="A187" s="619" t="s">
        <v>2751</v>
      </c>
      <c r="B187" s="619">
        <v>1</v>
      </c>
      <c r="C187" s="619">
        <v>343.07</v>
      </c>
    </row>
    <row r="188" spans="1:3">
      <c r="A188" s="619" t="s">
        <v>2752</v>
      </c>
      <c r="B188" s="619">
        <v>1</v>
      </c>
      <c r="C188" s="619">
        <v>343.38</v>
      </c>
    </row>
    <row r="189" spans="1:3">
      <c r="A189" s="619" t="s">
        <v>2753</v>
      </c>
      <c r="B189" s="619">
        <v>1</v>
      </c>
      <c r="C189" s="619">
        <v>343.38</v>
      </c>
    </row>
    <row r="190" spans="1:3">
      <c r="A190" s="619" t="s">
        <v>2754</v>
      </c>
      <c r="B190" s="619">
        <v>1</v>
      </c>
      <c r="C190" s="619">
        <v>343.38</v>
      </c>
    </row>
    <row r="191" spans="1:3">
      <c r="A191" s="619" t="s">
        <v>2755</v>
      </c>
      <c r="B191" s="619">
        <v>1</v>
      </c>
      <c r="C191" s="619">
        <v>343.38</v>
      </c>
    </row>
    <row r="192" spans="1:3">
      <c r="A192" s="619" t="s">
        <v>2756</v>
      </c>
      <c r="B192" s="619">
        <v>1</v>
      </c>
      <c r="C192" s="619">
        <v>343.48</v>
      </c>
    </row>
    <row r="193" spans="1:3">
      <c r="A193" s="619" t="s">
        <v>2757</v>
      </c>
      <c r="B193" s="619">
        <v>1</v>
      </c>
      <c r="C193" s="619">
        <v>343.25</v>
      </c>
    </row>
    <row r="194" spans="1:3">
      <c r="A194" s="619" t="s">
        <v>2758</v>
      </c>
      <c r="B194" s="619">
        <v>1</v>
      </c>
      <c r="C194" s="619">
        <v>343.11</v>
      </c>
    </row>
    <row r="195" spans="1:3">
      <c r="A195" s="619" t="s">
        <v>2759</v>
      </c>
      <c r="B195" s="619">
        <v>1</v>
      </c>
      <c r="C195" s="619">
        <v>344.37</v>
      </c>
    </row>
    <row r="196" spans="1:3">
      <c r="A196" s="619" t="s">
        <v>2760</v>
      </c>
      <c r="B196" s="619">
        <v>1</v>
      </c>
      <c r="C196" s="619">
        <v>343.45</v>
      </c>
    </row>
    <row r="197" spans="1:3">
      <c r="A197" s="619" t="s">
        <v>2761</v>
      </c>
      <c r="B197" s="619">
        <v>1</v>
      </c>
      <c r="C197" s="619">
        <v>343.45</v>
      </c>
    </row>
    <row r="198" spans="1:3">
      <c r="A198" s="619" t="s">
        <v>2762</v>
      </c>
      <c r="B198" s="619">
        <v>1</v>
      </c>
      <c r="C198" s="619">
        <v>343.45</v>
      </c>
    </row>
    <row r="199" spans="1:3">
      <c r="A199" s="619" t="s">
        <v>2763</v>
      </c>
      <c r="B199" s="619">
        <v>1</v>
      </c>
      <c r="C199" s="619">
        <v>342.49</v>
      </c>
    </row>
    <row r="200" spans="1:3">
      <c r="A200" s="619" t="s">
        <v>2764</v>
      </c>
      <c r="B200" s="619">
        <v>1</v>
      </c>
      <c r="C200" s="619">
        <v>343.06</v>
      </c>
    </row>
    <row r="201" spans="1:3">
      <c r="A201" s="619" t="s">
        <v>2765</v>
      </c>
      <c r="B201" s="619">
        <v>1</v>
      </c>
      <c r="C201" s="619">
        <v>344.58</v>
      </c>
    </row>
    <row r="202" spans="1:3">
      <c r="A202" s="619" t="s">
        <v>2766</v>
      </c>
      <c r="B202" s="619">
        <v>1</v>
      </c>
      <c r="C202" s="619">
        <v>345.55</v>
      </c>
    </row>
    <row r="203" spans="1:3">
      <c r="A203" s="619" t="s">
        <v>2767</v>
      </c>
      <c r="B203" s="619">
        <v>1</v>
      </c>
      <c r="C203" s="619">
        <v>346.68</v>
      </c>
    </row>
    <row r="204" spans="1:3">
      <c r="A204" s="619" t="s">
        <v>2768</v>
      </c>
      <c r="B204" s="619">
        <v>1</v>
      </c>
      <c r="C204" s="619">
        <v>346.68</v>
      </c>
    </row>
    <row r="205" spans="1:3">
      <c r="A205" s="619" t="s">
        <v>2769</v>
      </c>
      <c r="B205" s="619">
        <v>1</v>
      </c>
      <c r="C205" s="619">
        <v>346.68</v>
      </c>
    </row>
    <row r="206" spans="1:3">
      <c r="A206" s="619" t="s">
        <v>2770</v>
      </c>
      <c r="B206" s="619">
        <v>1</v>
      </c>
      <c r="C206" s="619">
        <v>345.68</v>
      </c>
    </row>
    <row r="207" spans="1:3">
      <c r="A207" s="619" t="s">
        <v>2771</v>
      </c>
      <c r="B207" s="619">
        <v>1</v>
      </c>
      <c r="C207" s="619">
        <v>344.64</v>
      </c>
    </row>
    <row r="208" spans="1:3">
      <c r="A208" s="619" t="s">
        <v>2772</v>
      </c>
      <c r="B208" s="619">
        <v>1</v>
      </c>
      <c r="C208" s="619">
        <v>346.31</v>
      </c>
    </row>
    <row r="209" spans="1:3">
      <c r="A209" s="619" t="s">
        <v>2773</v>
      </c>
      <c r="B209" s="619">
        <v>1</v>
      </c>
      <c r="C209" s="619">
        <v>345.91</v>
      </c>
    </row>
    <row r="210" spans="1:3">
      <c r="A210" s="619" t="s">
        <v>2774</v>
      </c>
      <c r="B210" s="619">
        <v>1</v>
      </c>
      <c r="C210" s="619">
        <v>346.15</v>
      </c>
    </row>
    <row r="211" spans="1:3">
      <c r="A211" s="619" t="s">
        <v>2775</v>
      </c>
      <c r="B211" s="619">
        <v>1</v>
      </c>
      <c r="C211" s="619">
        <v>346.15</v>
      </c>
    </row>
    <row r="212" spans="1:3">
      <c r="A212" s="619" t="s">
        <v>2776</v>
      </c>
      <c r="B212" s="619">
        <v>1</v>
      </c>
      <c r="C212" s="619">
        <v>346.15</v>
      </c>
    </row>
    <row r="213" spans="1:3">
      <c r="A213" s="619" t="s">
        <v>2777</v>
      </c>
      <c r="B213" s="619">
        <v>1</v>
      </c>
      <c r="C213" s="619">
        <v>347.06</v>
      </c>
    </row>
    <row r="214" spans="1:3">
      <c r="A214" s="619" t="s">
        <v>2778</v>
      </c>
      <c r="B214" s="619">
        <v>1</v>
      </c>
      <c r="C214" s="619">
        <v>346.7</v>
      </c>
    </row>
    <row r="215" spans="1:3">
      <c r="A215" s="619" t="s">
        <v>2779</v>
      </c>
      <c r="B215" s="619">
        <v>1</v>
      </c>
      <c r="C215" s="619">
        <v>348.21</v>
      </c>
    </row>
    <row r="216" spans="1:3">
      <c r="A216" s="619" t="s">
        <v>2780</v>
      </c>
      <c r="B216" s="619">
        <v>1</v>
      </c>
      <c r="C216" s="619">
        <v>349.68</v>
      </c>
    </row>
    <row r="217" spans="1:3">
      <c r="A217" s="619" t="s">
        <v>2781</v>
      </c>
      <c r="B217" s="619">
        <v>1</v>
      </c>
      <c r="C217" s="619">
        <v>349.76</v>
      </c>
    </row>
    <row r="218" spans="1:3">
      <c r="A218" s="619" t="s">
        <v>2782</v>
      </c>
      <c r="B218" s="619">
        <v>1</v>
      </c>
      <c r="C218" s="619">
        <v>349.76</v>
      </c>
    </row>
    <row r="219" spans="1:3">
      <c r="A219" s="619" t="s">
        <v>2783</v>
      </c>
      <c r="B219" s="619">
        <v>1</v>
      </c>
      <c r="C219" s="619">
        <v>349.76</v>
      </c>
    </row>
    <row r="220" spans="1:3">
      <c r="A220" s="619" t="s">
        <v>2784</v>
      </c>
      <c r="B220" s="619">
        <v>1</v>
      </c>
      <c r="C220" s="619">
        <v>348.8</v>
      </c>
    </row>
    <row r="221" spans="1:3">
      <c r="A221" s="619" t="s">
        <v>2785</v>
      </c>
      <c r="B221" s="619">
        <v>1</v>
      </c>
      <c r="C221" s="619">
        <v>348.82</v>
      </c>
    </row>
    <row r="222" spans="1:3">
      <c r="A222" s="619" t="s">
        <v>2786</v>
      </c>
      <c r="B222" s="619">
        <v>1</v>
      </c>
      <c r="C222" s="619">
        <v>348.59</v>
      </c>
    </row>
    <row r="223" spans="1:3">
      <c r="A223" s="619" t="s">
        <v>2787</v>
      </c>
      <c r="B223" s="619">
        <v>1</v>
      </c>
      <c r="C223" s="619">
        <v>354.06</v>
      </c>
    </row>
    <row r="224" spans="1:3">
      <c r="A224" s="619" t="s">
        <v>2788</v>
      </c>
      <c r="B224" s="619">
        <v>1</v>
      </c>
      <c r="C224" s="619">
        <v>356.8</v>
      </c>
    </row>
    <row r="225" spans="1:3">
      <c r="A225" s="619" t="s">
        <v>2789</v>
      </c>
      <c r="B225" s="619">
        <v>1</v>
      </c>
      <c r="C225" s="619">
        <v>356.8</v>
      </c>
    </row>
    <row r="226" spans="1:3">
      <c r="A226" s="619" t="s">
        <v>2790</v>
      </c>
      <c r="B226" s="619">
        <v>1</v>
      </c>
      <c r="C226" s="619">
        <v>356.8</v>
      </c>
    </row>
    <row r="227" spans="1:3">
      <c r="A227" s="619" t="s">
        <v>2791</v>
      </c>
      <c r="B227" s="619">
        <v>1</v>
      </c>
      <c r="C227" s="619">
        <v>363.22</v>
      </c>
    </row>
    <row r="228" spans="1:3">
      <c r="A228" s="619" t="s">
        <v>2792</v>
      </c>
      <c r="B228" s="619">
        <v>1</v>
      </c>
      <c r="C228" s="619">
        <v>363.28</v>
      </c>
    </row>
    <row r="229" spans="1:3">
      <c r="A229" s="619" t="s">
        <v>2793</v>
      </c>
      <c r="B229" s="619">
        <v>1</v>
      </c>
      <c r="C229" s="619">
        <v>361.66</v>
      </c>
    </row>
    <row r="230" spans="1:3">
      <c r="A230" s="619" t="s">
        <v>2794</v>
      </c>
      <c r="B230" s="619">
        <v>1</v>
      </c>
      <c r="C230" s="619">
        <v>360.87</v>
      </c>
    </row>
    <row r="231" spans="1:3">
      <c r="A231" s="619" t="s">
        <v>2795</v>
      </c>
      <c r="B231" s="619">
        <v>1</v>
      </c>
      <c r="C231" s="619">
        <v>360.12</v>
      </c>
    </row>
    <row r="232" spans="1:3">
      <c r="A232" s="619" t="s">
        <v>2796</v>
      </c>
      <c r="B232" s="619">
        <v>1</v>
      </c>
      <c r="C232" s="619">
        <v>360.12</v>
      </c>
    </row>
    <row r="233" spans="1:3">
      <c r="A233" s="619" t="s">
        <v>2797</v>
      </c>
      <c r="B233" s="619">
        <v>1</v>
      </c>
      <c r="C233" s="619">
        <v>360.12</v>
      </c>
    </row>
    <row r="234" spans="1:3">
      <c r="A234" s="619" t="s">
        <v>2798</v>
      </c>
      <c r="B234" s="619">
        <v>1</v>
      </c>
      <c r="C234" s="619">
        <v>360.71</v>
      </c>
    </row>
    <row r="235" spans="1:3">
      <c r="A235" s="619" t="s">
        <v>2799</v>
      </c>
      <c r="B235" s="619">
        <v>1</v>
      </c>
      <c r="C235" s="619">
        <v>360.71</v>
      </c>
    </row>
    <row r="236" spans="1:3">
      <c r="A236" s="619" t="s">
        <v>2800</v>
      </c>
      <c r="B236" s="619">
        <v>1</v>
      </c>
      <c r="C236" s="619">
        <v>361.66</v>
      </c>
    </row>
    <row r="237" spans="1:3">
      <c r="A237" s="619" t="s">
        <v>2801</v>
      </c>
      <c r="B237" s="619">
        <v>1</v>
      </c>
      <c r="C237" s="619">
        <v>361.63</v>
      </c>
    </row>
    <row r="238" spans="1:3">
      <c r="A238" s="619" t="s">
        <v>2802</v>
      </c>
      <c r="B238" s="619">
        <v>1</v>
      </c>
      <c r="C238" s="619">
        <v>360.55</v>
      </c>
    </row>
    <row r="239" spans="1:3">
      <c r="A239" s="619" t="s">
        <v>2803</v>
      </c>
      <c r="B239" s="619">
        <v>1</v>
      </c>
      <c r="C239" s="619">
        <v>359.64</v>
      </c>
    </row>
    <row r="240" spans="1:3">
      <c r="A240" s="619" t="s">
        <v>2804</v>
      </c>
      <c r="B240" s="619">
        <v>1</v>
      </c>
      <c r="C240" s="619">
        <v>359.64</v>
      </c>
    </row>
    <row r="241" spans="1:3">
      <c r="A241" s="619" t="s">
        <v>2805</v>
      </c>
      <c r="B241" s="619">
        <v>1</v>
      </c>
      <c r="C241" s="619">
        <v>361.19</v>
      </c>
    </row>
    <row r="242" spans="1:3">
      <c r="A242" s="619" t="s">
        <v>2806</v>
      </c>
      <c r="B242" s="619">
        <v>1</v>
      </c>
      <c r="C242" s="619">
        <v>361.31</v>
      </c>
    </row>
    <row r="243" spans="1:3">
      <c r="A243" s="619" t="s">
        <v>2807</v>
      </c>
      <c r="B243" s="619">
        <v>1</v>
      </c>
      <c r="C243" s="619">
        <v>363.43</v>
      </c>
    </row>
    <row r="244" spans="1:3">
      <c r="A244" s="619" t="s">
        <v>2808</v>
      </c>
      <c r="B244" s="619">
        <v>1</v>
      </c>
      <c r="C244" s="619">
        <v>363.43</v>
      </c>
    </row>
    <row r="245" spans="1:3">
      <c r="A245" s="619" t="s">
        <v>2809</v>
      </c>
      <c r="B245" s="619">
        <v>1</v>
      </c>
      <c r="C245" s="619">
        <v>363.43</v>
      </c>
    </row>
    <row r="246" spans="1:3">
      <c r="A246" s="619" t="s">
        <v>2810</v>
      </c>
      <c r="B246" s="619">
        <v>1</v>
      </c>
      <c r="C246" s="619">
        <v>363.43</v>
      </c>
    </row>
    <row r="247" spans="1:3">
      <c r="A247" s="619" t="s">
        <v>2811</v>
      </c>
      <c r="B247" s="619">
        <v>1</v>
      </c>
      <c r="C247" s="619">
        <v>363.43</v>
      </c>
    </row>
    <row r="248" spans="1:3">
      <c r="A248" s="619" t="s">
        <v>2812</v>
      </c>
      <c r="B248" s="619">
        <v>1</v>
      </c>
      <c r="C248" s="619">
        <v>365.23</v>
      </c>
    </row>
    <row r="249" spans="1:3">
      <c r="A249" s="619" t="s">
        <v>2813</v>
      </c>
      <c r="B249" s="619">
        <v>1</v>
      </c>
      <c r="C249" s="619">
        <v>367.52</v>
      </c>
    </row>
    <row r="250" spans="1:3">
      <c r="A250" s="619" t="s">
        <v>2814</v>
      </c>
      <c r="B250" s="619">
        <v>1</v>
      </c>
      <c r="C250" s="619">
        <v>369.89</v>
      </c>
    </row>
    <row r="251" spans="1:3">
      <c r="A251" s="619" t="s">
        <v>2815</v>
      </c>
      <c r="B251" s="619">
        <v>1</v>
      </c>
      <c r="C251" s="619">
        <v>372.23</v>
      </c>
    </row>
    <row r="252" spans="1:3">
      <c r="A252" s="619" t="s">
        <v>2816</v>
      </c>
      <c r="B252" s="619">
        <v>1</v>
      </c>
      <c r="C252" s="619">
        <v>375.62</v>
      </c>
    </row>
    <row r="253" spans="1:3">
      <c r="A253" s="619" t="s">
        <v>2817</v>
      </c>
      <c r="B253" s="619">
        <v>1</v>
      </c>
      <c r="C253" s="619">
        <v>375.62</v>
      </c>
    </row>
    <row r="254" spans="1:3">
      <c r="A254" s="619" t="s">
        <v>2818</v>
      </c>
      <c r="B254" s="619">
        <v>1</v>
      </c>
      <c r="C254" s="619">
        <v>375.62</v>
      </c>
    </row>
    <row r="255" spans="1:3">
      <c r="A255" s="619" t="s">
        <v>2819</v>
      </c>
      <c r="B255" s="619">
        <v>1</v>
      </c>
      <c r="C255" s="619">
        <v>378.11</v>
      </c>
    </row>
    <row r="256" spans="1:3">
      <c r="A256" s="619" t="s">
        <v>2820</v>
      </c>
      <c r="B256" s="619">
        <v>1</v>
      </c>
      <c r="C256" s="619">
        <v>380.93</v>
      </c>
    </row>
    <row r="257" spans="1:3">
      <c r="A257" s="619" t="s">
        <v>2821</v>
      </c>
      <c r="B257" s="619">
        <v>1</v>
      </c>
      <c r="C257" s="619">
        <v>377.74</v>
      </c>
    </row>
    <row r="258" spans="1:3">
      <c r="A258" s="619" t="s">
        <v>2822</v>
      </c>
      <c r="B258" s="619">
        <v>1</v>
      </c>
      <c r="C258" s="619">
        <v>375.31</v>
      </c>
    </row>
    <row r="259" spans="1:3">
      <c r="A259" s="619" t="s">
        <v>2823</v>
      </c>
      <c r="B259" s="619">
        <v>1</v>
      </c>
      <c r="C259" s="619">
        <v>373.65</v>
      </c>
    </row>
    <row r="260" spans="1:3">
      <c r="A260" s="619" t="s">
        <v>2824</v>
      </c>
      <c r="B260" s="619">
        <v>1</v>
      </c>
      <c r="C260" s="619">
        <v>373.65</v>
      </c>
    </row>
    <row r="261" spans="1:3">
      <c r="A261" s="619" t="s">
        <v>2825</v>
      </c>
      <c r="B261" s="619">
        <v>1</v>
      </c>
      <c r="C261" s="619">
        <v>373.65</v>
      </c>
    </row>
    <row r="262" spans="1:3">
      <c r="A262" s="619" t="s">
        <v>2826</v>
      </c>
      <c r="B262" s="619">
        <v>1</v>
      </c>
      <c r="C262" s="619">
        <v>371.86</v>
      </c>
    </row>
    <row r="263" spans="1:3">
      <c r="A263" s="619" t="s">
        <v>2827</v>
      </c>
      <c r="B263" s="619">
        <v>1</v>
      </c>
      <c r="C263" s="619">
        <v>369.36</v>
      </c>
    </row>
    <row r="264" spans="1:3">
      <c r="A264" s="619" t="s">
        <v>2828</v>
      </c>
      <c r="B264" s="619">
        <v>1</v>
      </c>
      <c r="C264" s="619">
        <v>361.94</v>
      </c>
    </row>
    <row r="265" spans="1:3">
      <c r="A265" s="619" t="s">
        <v>2829</v>
      </c>
      <c r="B265" s="619">
        <v>1</v>
      </c>
      <c r="C265" s="619">
        <v>359</v>
      </c>
    </row>
    <row r="266" spans="1:3">
      <c r="A266" s="619" t="s">
        <v>2830</v>
      </c>
      <c r="B266" s="619">
        <v>1</v>
      </c>
      <c r="C266" s="619">
        <v>352.54</v>
      </c>
    </row>
    <row r="267" spans="1:3">
      <c r="A267" s="619" t="s">
        <v>2831</v>
      </c>
      <c r="B267" s="619">
        <v>1</v>
      </c>
      <c r="C267" s="619">
        <v>352.54</v>
      </c>
    </row>
    <row r="268" spans="1:3">
      <c r="A268" s="619" t="s">
        <v>2832</v>
      </c>
      <c r="B268" s="619">
        <v>1</v>
      </c>
      <c r="C268" s="619">
        <v>352.54</v>
      </c>
    </row>
    <row r="269" spans="1:3">
      <c r="A269" s="619" t="s">
        <v>2833</v>
      </c>
      <c r="B269" s="619">
        <v>1</v>
      </c>
      <c r="C269" s="619">
        <v>354.12</v>
      </c>
    </row>
    <row r="270" spans="1:3">
      <c r="A270" s="619" t="s">
        <v>2834</v>
      </c>
      <c r="B270" s="619">
        <v>1</v>
      </c>
      <c r="C270" s="619">
        <v>356.54</v>
      </c>
    </row>
    <row r="271" spans="1:3">
      <c r="A271" s="619" t="s">
        <v>2835</v>
      </c>
      <c r="B271" s="619">
        <v>1</v>
      </c>
      <c r="C271" s="619">
        <v>359.76</v>
      </c>
    </row>
    <row r="272" spans="1:3">
      <c r="A272" s="619" t="s">
        <v>2836</v>
      </c>
      <c r="B272" s="619">
        <v>1</v>
      </c>
      <c r="C272" s="619">
        <v>361.82</v>
      </c>
    </row>
    <row r="273" spans="1:3">
      <c r="A273" s="619" t="s">
        <v>2837</v>
      </c>
      <c r="B273" s="619">
        <v>1</v>
      </c>
      <c r="C273" s="619">
        <v>363.07</v>
      </c>
    </row>
    <row r="274" spans="1:3">
      <c r="A274" s="619" t="s">
        <v>2838</v>
      </c>
      <c r="B274" s="619">
        <v>1</v>
      </c>
      <c r="C274" s="619">
        <v>363.07</v>
      </c>
    </row>
    <row r="275" spans="1:3">
      <c r="A275" s="619" t="s">
        <v>2839</v>
      </c>
      <c r="B275" s="619">
        <v>1</v>
      </c>
      <c r="C275" s="619">
        <v>363.07</v>
      </c>
    </row>
    <row r="276" spans="1:3">
      <c r="A276" s="619" t="s">
        <v>2840</v>
      </c>
      <c r="B276" s="619">
        <v>1</v>
      </c>
      <c r="C276" s="619">
        <v>364.35</v>
      </c>
    </row>
    <row r="277" spans="1:3">
      <c r="A277" s="619" t="s">
        <v>2841</v>
      </c>
      <c r="B277" s="619">
        <v>1</v>
      </c>
      <c r="C277" s="619">
        <v>360.65</v>
      </c>
    </row>
    <row r="278" spans="1:3">
      <c r="A278" s="619" t="s">
        <v>2842</v>
      </c>
      <c r="B278" s="619">
        <v>1</v>
      </c>
      <c r="C278" s="619">
        <v>364.2</v>
      </c>
    </row>
    <row r="279" spans="1:3">
      <c r="A279" s="619" t="s">
        <v>2843</v>
      </c>
      <c r="B279" s="619">
        <v>1</v>
      </c>
      <c r="C279" s="619">
        <v>367.2</v>
      </c>
    </row>
    <row r="280" spans="1:3">
      <c r="A280" s="619" t="s">
        <v>2844</v>
      </c>
      <c r="B280" s="619">
        <v>1</v>
      </c>
      <c r="C280" s="619">
        <v>373.71</v>
      </c>
    </row>
    <row r="281" spans="1:3">
      <c r="A281" s="619" t="s">
        <v>2845</v>
      </c>
      <c r="B281" s="619">
        <v>1</v>
      </c>
      <c r="C281" s="619">
        <v>373.71</v>
      </c>
    </row>
    <row r="282" spans="1:3">
      <c r="A282" s="619" t="s">
        <v>2846</v>
      </c>
      <c r="B282" s="619">
        <v>1</v>
      </c>
      <c r="C282" s="619">
        <v>373.71</v>
      </c>
    </row>
    <row r="283" spans="1:3">
      <c r="A283" s="619" t="s">
        <v>2847</v>
      </c>
      <c r="B283" s="619">
        <v>1</v>
      </c>
      <c r="C283" s="619">
        <v>372.27</v>
      </c>
    </row>
    <row r="284" spans="1:3">
      <c r="A284" s="619" t="s">
        <v>2848</v>
      </c>
      <c r="B284" s="619">
        <v>1</v>
      </c>
      <c r="C284" s="619">
        <v>372.17</v>
      </c>
    </row>
    <row r="285" spans="1:3">
      <c r="A285" s="619" t="s">
        <v>2849</v>
      </c>
      <c r="B285" s="619">
        <v>1</v>
      </c>
      <c r="C285" s="619">
        <v>368.7</v>
      </c>
    </row>
    <row r="286" spans="1:3">
      <c r="A286" s="619" t="s">
        <v>2850</v>
      </c>
      <c r="B286" s="619">
        <v>1</v>
      </c>
      <c r="C286" s="619">
        <v>372</v>
      </c>
    </row>
    <row r="287" spans="1:3">
      <c r="A287" s="619" t="s">
        <v>2851</v>
      </c>
      <c r="B287" s="619">
        <v>1</v>
      </c>
      <c r="C287" s="619">
        <v>370.03</v>
      </c>
    </row>
    <row r="288" spans="1:3">
      <c r="A288" s="619" t="s">
        <v>2852</v>
      </c>
      <c r="B288" s="619">
        <v>1</v>
      </c>
      <c r="C288" s="619">
        <v>370.03</v>
      </c>
    </row>
    <row r="289" spans="1:3">
      <c r="A289" s="619" t="s">
        <v>2853</v>
      </c>
      <c r="B289" s="619">
        <v>1</v>
      </c>
      <c r="C289" s="619">
        <v>370.03</v>
      </c>
    </row>
    <row r="290" spans="1:3">
      <c r="A290" s="619" t="s">
        <v>2854</v>
      </c>
      <c r="B290" s="619">
        <v>1</v>
      </c>
      <c r="C290" s="619">
        <v>369.98</v>
      </c>
    </row>
    <row r="291" spans="1:3">
      <c r="A291" s="619" t="s">
        <v>2855</v>
      </c>
      <c r="B291" s="619">
        <v>1</v>
      </c>
      <c r="C291" s="619">
        <v>366.86</v>
      </c>
    </row>
    <row r="292" spans="1:3">
      <c r="A292" s="619" t="s">
        <v>2856</v>
      </c>
      <c r="B292" s="619">
        <v>1</v>
      </c>
      <c r="C292" s="619">
        <v>363.26</v>
      </c>
    </row>
    <row r="293" spans="1:3">
      <c r="A293" s="619" t="s">
        <v>2857</v>
      </c>
      <c r="B293" s="619">
        <v>1</v>
      </c>
      <c r="C293" s="619">
        <v>364.35</v>
      </c>
    </row>
    <row r="294" spans="1:3">
      <c r="A294" s="619" t="s">
        <v>2858</v>
      </c>
      <c r="B294" s="619">
        <v>1</v>
      </c>
      <c r="C294" s="619">
        <v>366.43</v>
      </c>
    </row>
    <row r="295" spans="1:3">
      <c r="A295" s="619" t="s">
        <v>2859</v>
      </c>
      <c r="B295" s="619">
        <v>1</v>
      </c>
      <c r="C295" s="619">
        <v>366.43</v>
      </c>
    </row>
    <row r="296" spans="1:3">
      <c r="A296" s="619" t="s">
        <v>2860</v>
      </c>
      <c r="B296" s="619">
        <v>1</v>
      </c>
      <c r="C296" s="619">
        <v>366.43</v>
      </c>
    </row>
    <row r="297" spans="1:3">
      <c r="A297" s="619" t="s">
        <v>2861</v>
      </c>
      <c r="B297" s="619">
        <v>1</v>
      </c>
      <c r="C297" s="619">
        <v>365.49</v>
      </c>
    </row>
    <row r="298" spans="1:3">
      <c r="A298" s="619" t="s">
        <v>2862</v>
      </c>
      <c r="B298" s="619">
        <v>1</v>
      </c>
      <c r="C298" s="619">
        <v>361.15</v>
      </c>
    </row>
    <row r="299" spans="1:3">
      <c r="A299" s="619" t="s">
        <v>2863</v>
      </c>
      <c r="B299" s="619">
        <v>1</v>
      </c>
      <c r="C299" s="619">
        <v>365.82</v>
      </c>
    </row>
    <row r="300" spans="1:3">
      <c r="A300" s="619" t="s">
        <v>2864</v>
      </c>
      <c r="B300" s="619">
        <v>1</v>
      </c>
      <c r="C300" s="619">
        <v>367.49</v>
      </c>
    </row>
    <row r="301" spans="1:3">
      <c r="A301" s="619" t="s">
        <v>2865</v>
      </c>
      <c r="B301" s="619">
        <v>1</v>
      </c>
      <c r="C301" s="619">
        <v>368.54</v>
      </c>
    </row>
    <row r="302" spans="1:3">
      <c r="A302" s="619" t="s">
        <v>2866</v>
      </c>
      <c r="B302" s="619">
        <v>1</v>
      </c>
      <c r="C302" s="619">
        <v>368.54</v>
      </c>
    </row>
    <row r="303" spans="1:3">
      <c r="A303" s="619" t="s">
        <v>2867</v>
      </c>
      <c r="B303" s="619">
        <v>1</v>
      </c>
      <c r="C303" s="619">
        <v>368.54</v>
      </c>
    </row>
    <row r="304" spans="1:3">
      <c r="A304" s="619" t="s">
        <v>2868</v>
      </c>
      <c r="B304" s="619">
        <v>1</v>
      </c>
      <c r="C304" s="619">
        <v>368.56</v>
      </c>
    </row>
    <row r="305" spans="1:3">
      <c r="A305" s="619" t="s">
        <v>2869</v>
      </c>
      <c r="B305" s="619">
        <v>1</v>
      </c>
      <c r="C305" s="619">
        <v>368.55</v>
      </c>
    </row>
    <row r="306" spans="1:3">
      <c r="A306" s="619" t="s">
        <v>2870</v>
      </c>
      <c r="B306" s="619">
        <v>1</v>
      </c>
      <c r="C306" s="619">
        <v>368.95</v>
      </c>
    </row>
    <row r="307" spans="1:3">
      <c r="A307" s="619" t="s">
        <v>2871</v>
      </c>
      <c r="B307" s="619">
        <v>1</v>
      </c>
      <c r="C307" s="619">
        <v>370.44</v>
      </c>
    </row>
    <row r="308" spans="1:3">
      <c r="A308" s="619" t="s">
        <v>2872</v>
      </c>
      <c r="B308" s="619">
        <v>1</v>
      </c>
      <c r="C308" s="619">
        <v>371.31</v>
      </c>
    </row>
    <row r="309" spans="1:3">
      <c r="A309" s="619" t="s">
        <v>2873</v>
      </c>
      <c r="B309" s="619">
        <v>1</v>
      </c>
      <c r="C309" s="619">
        <v>371.31</v>
      </c>
    </row>
    <row r="310" spans="1:3">
      <c r="A310" s="619" t="s">
        <v>2874</v>
      </c>
      <c r="B310" s="619">
        <v>1</v>
      </c>
      <c r="C310" s="619">
        <v>371.31</v>
      </c>
    </row>
    <row r="311" spans="1:3">
      <c r="A311" s="619" t="s">
        <v>2875</v>
      </c>
      <c r="B311" s="619">
        <v>1</v>
      </c>
      <c r="C311" s="619">
        <v>371.88</v>
      </c>
    </row>
    <row r="312" spans="1:3">
      <c r="A312" s="619" t="s">
        <v>2876</v>
      </c>
      <c r="B312" s="619">
        <v>1</v>
      </c>
      <c r="C312" s="619">
        <v>370.85</v>
      </c>
    </row>
    <row r="313" spans="1:3">
      <c r="A313" s="619" t="s">
        <v>2877</v>
      </c>
      <c r="B313" s="619">
        <v>1</v>
      </c>
      <c r="C313" s="619">
        <v>371.19</v>
      </c>
    </row>
    <row r="314" spans="1:3">
      <c r="A314" s="619" t="s">
        <v>2878</v>
      </c>
      <c r="B314" s="619">
        <v>1</v>
      </c>
      <c r="C314" s="619">
        <v>371.08</v>
      </c>
    </row>
    <row r="315" spans="1:3">
      <c r="A315" s="619" t="s">
        <v>2879</v>
      </c>
      <c r="B315" s="619">
        <v>1</v>
      </c>
      <c r="C315" s="619">
        <v>372.65</v>
      </c>
    </row>
    <row r="316" spans="1:3">
      <c r="A316" s="619" t="s">
        <v>2880</v>
      </c>
      <c r="B316" s="619">
        <v>1</v>
      </c>
      <c r="C316" s="619">
        <v>372.65</v>
      </c>
    </row>
    <row r="317" spans="1:3">
      <c r="A317" s="619" t="s">
        <v>2881</v>
      </c>
      <c r="B317" s="619">
        <v>1</v>
      </c>
      <c r="C317" s="619">
        <v>372.65</v>
      </c>
    </row>
    <row r="318" spans="1:3">
      <c r="A318" s="619" t="s">
        <v>2882</v>
      </c>
      <c r="B318" s="619">
        <v>1</v>
      </c>
      <c r="C318" s="619">
        <v>374.47</v>
      </c>
    </row>
    <row r="319" spans="1:3">
      <c r="A319" s="619" t="s">
        <v>2883</v>
      </c>
      <c r="B319" s="619">
        <v>1</v>
      </c>
      <c r="C319" s="619">
        <v>374.2</v>
      </c>
    </row>
    <row r="320" spans="1:3">
      <c r="A320" s="619" t="s">
        <v>2884</v>
      </c>
      <c r="B320" s="619">
        <v>1</v>
      </c>
      <c r="C320" s="619">
        <v>375.9</v>
      </c>
    </row>
    <row r="321" spans="1:3">
      <c r="A321" s="619" t="s">
        <v>2885</v>
      </c>
      <c r="B321" s="619">
        <v>1</v>
      </c>
      <c r="C321" s="619">
        <v>369.01</v>
      </c>
    </row>
    <row r="322" spans="1:3">
      <c r="A322" s="619" t="s">
        <v>2886</v>
      </c>
      <c r="B322" s="619">
        <v>1</v>
      </c>
      <c r="C322" s="619">
        <v>367.06</v>
      </c>
    </row>
    <row r="323" spans="1:3">
      <c r="A323" s="619" t="s">
        <v>2887</v>
      </c>
      <c r="B323" s="619">
        <v>1</v>
      </c>
      <c r="C323" s="619">
        <v>367.06</v>
      </c>
    </row>
    <row r="324" spans="1:3">
      <c r="A324" s="619" t="s">
        <v>2888</v>
      </c>
      <c r="B324" s="619">
        <v>1</v>
      </c>
      <c r="C324" s="619">
        <v>367.06</v>
      </c>
    </row>
    <row r="325" spans="1:3">
      <c r="A325" s="619" t="s">
        <v>2889</v>
      </c>
      <c r="B325" s="619">
        <v>1</v>
      </c>
      <c r="C325" s="619">
        <v>367.3</v>
      </c>
    </row>
    <row r="326" spans="1:3">
      <c r="A326" s="619" t="s">
        <v>2890</v>
      </c>
      <c r="B326" s="619">
        <v>1</v>
      </c>
      <c r="C326" s="619">
        <v>364.95</v>
      </c>
    </row>
    <row r="327" spans="1:3">
      <c r="A327" s="619" t="s">
        <v>2891</v>
      </c>
      <c r="B327" s="619">
        <v>1</v>
      </c>
      <c r="C327" s="619">
        <v>368.28</v>
      </c>
    </row>
    <row r="328" spans="1:3">
      <c r="A328" s="619" t="s">
        <v>2892</v>
      </c>
      <c r="B328" s="619">
        <v>1</v>
      </c>
      <c r="C328" s="619">
        <v>367.27</v>
      </c>
    </row>
    <row r="329" spans="1:3">
      <c r="A329" s="619" t="s">
        <v>2893</v>
      </c>
      <c r="B329" s="619">
        <v>1</v>
      </c>
      <c r="C329" s="619">
        <v>366.05</v>
      </c>
    </row>
    <row r="330" spans="1:3">
      <c r="A330" s="619" t="s">
        <v>2894</v>
      </c>
      <c r="B330" s="619">
        <v>1</v>
      </c>
      <c r="C330" s="619">
        <v>366.05</v>
      </c>
    </row>
    <row r="331" spans="1:3">
      <c r="A331" s="619" t="s">
        <v>2895</v>
      </c>
      <c r="B331" s="619">
        <v>1</v>
      </c>
      <c r="C331" s="619">
        <v>366.05</v>
      </c>
    </row>
    <row r="332" spans="1:3">
      <c r="A332" s="619" t="s">
        <v>2896</v>
      </c>
      <c r="B332" s="619">
        <v>1</v>
      </c>
      <c r="C332" s="619">
        <v>371.03</v>
      </c>
    </row>
    <row r="333" spans="1:3">
      <c r="A333" s="619" t="s">
        <v>2897</v>
      </c>
      <c r="B333" s="619">
        <v>1</v>
      </c>
      <c r="C333" s="619">
        <v>372.83</v>
      </c>
    </row>
    <row r="334" spans="1:3">
      <c r="A334" s="619" t="s">
        <v>2898</v>
      </c>
      <c r="B334" s="619">
        <v>1</v>
      </c>
      <c r="C334" s="619">
        <v>372.73</v>
      </c>
    </row>
    <row r="335" spans="1:3">
      <c r="A335" s="619" t="s">
        <v>2899</v>
      </c>
      <c r="B335" s="619">
        <v>1</v>
      </c>
      <c r="C335" s="619">
        <v>371.28</v>
      </c>
    </row>
    <row r="336" spans="1:3">
      <c r="A336" s="619" t="s">
        <v>2900</v>
      </c>
      <c r="B336" s="619">
        <v>1</v>
      </c>
      <c r="C336" s="619">
        <v>371.56</v>
      </c>
    </row>
    <row r="337" spans="1:3">
      <c r="A337" s="619" t="s">
        <v>2901</v>
      </c>
      <c r="B337" s="619">
        <v>1</v>
      </c>
      <c r="C337" s="619">
        <v>371.56</v>
      </c>
    </row>
    <row r="338" spans="1:3">
      <c r="A338" s="619" t="s">
        <v>2902</v>
      </c>
      <c r="B338" s="619">
        <v>1</v>
      </c>
      <c r="C338" s="619">
        <v>371.56</v>
      </c>
    </row>
    <row r="339" spans="1:3">
      <c r="A339" s="619" t="s">
        <v>2903</v>
      </c>
      <c r="B339" s="619">
        <v>1</v>
      </c>
      <c r="C339" s="619">
        <v>371.56</v>
      </c>
    </row>
    <row r="340" spans="1:3">
      <c r="A340" s="619" t="s">
        <v>2904</v>
      </c>
      <c r="B340" s="619">
        <v>1</v>
      </c>
      <c r="C340" s="619">
        <v>371.14</v>
      </c>
    </row>
    <row r="341" spans="1:3">
      <c r="A341" s="619" t="s">
        <v>2905</v>
      </c>
      <c r="B341" s="619">
        <v>1</v>
      </c>
      <c r="C341" s="619">
        <v>371.8</v>
      </c>
    </row>
    <row r="342" spans="1:3">
      <c r="A342" s="619" t="s">
        <v>2906</v>
      </c>
      <c r="B342" s="619">
        <v>1</v>
      </c>
      <c r="C342" s="619">
        <v>369.98</v>
      </c>
    </row>
    <row r="343" spans="1:3">
      <c r="A343" s="619" t="s">
        <v>2907</v>
      </c>
      <c r="B343" s="619">
        <v>1</v>
      </c>
      <c r="C343" s="619">
        <v>370.49</v>
      </c>
    </row>
    <row r="344" spans="1:3">
      <c r="A344" s="619" t="s">
        <v>2908</v>
      </c>
      <c r="B344" s="619">
        <v>1</v>
      </c>
      <c r="C344" s="619">
        <v>370.49</v>
      </c>
    </row>
    <row r="345" spans="1:3">
      <c r="A345" s="619" t="s">
        <v>2909</v>
      </c>
      <c r="B345" s="619">
        <v>1</v>
      </c>
      <c r="C345" s="619">
        <v>370.49</v>
      </c>
    </row>
    <row r="346" spans="1:3">
      <c r="A346" s="619" t="s">
        <v>2910</v>
      </c>
      <c r="B346" s="619">
        <v>1</v>
      </c>
      <c r="C346" s="619">
        <v>369.35</v>
      </c>
    </row>
    <row r="347" spans="1:3">
      <c r="A347" s="619" t="s">
        <v>2911</v>
      </c>
      <c r="B347" s="619">
        <v>1</v>
      </c>
      <c r="C347" s="619">
        <v>370.55</v>
      </c>
    </row>
    <row r="348" spans="1:3">
      <c r="A348" s="619" t="s">
        <v>2912</v>
      </c>
      <c r="B348" s="619">
        <v>1</v>
      </c>
      <c r="C348" s="619">
        <v>370.11</v>
      </c>
    </row>
    <row r="349" spans="1:3">
      <c r="A349" s="619" t="s">
        <v>2913</v>
      </c>
      <c r="B349" s="619">
        <v>1</v>
      </c>
      <c r="C349" s="619">
        <v>370.04</v>
      </c>
    </row>
    <row r="350" spans="1:3">
      <c r="A350" s="619" t="s">
        <v>2914</v>
      </c>
      <c r="B350" s="619">
        <v>1</v>
      </c>
      <c r="C350" s="619">
        <v>371.31</v>
      </c>
    </row>
    <row r="351" spans="1:3">
      <c r="A351" s="619" t="s">
        <v>2915</v>
      </c>
      <c r="B351" s="619">
        <v>1</v>
      </c>
      <c r="C351" s="619">
        <v>371.31</v>
      </c>
    </row>
    <row r="352" spans="1:3">
      <c r="A352" s="619" t="s">
        <v>2916</v>
      </c>
      <c r="B352" s="619">
        <v>1</v>
      </c>
      <c r="C352" s="619">
        <v>371.31</v>
      </c>
    </row>
    <row r="353" spans="1:3">
      <c r="A353" s="619" t="s">
        <v>2917</v>
      </c>
      <c r="B353" s="619">
        <v>1</v>
      </c>
      <c r="C353" s="619">
        <v>371.31</v>
      </c>
    </row>
    <row r="354" spans="1:3">
      <c r="A354" s="619" t="s">
        <v>2918</v>
      </c>
      <c r="B354" s="619">
        <v>1</v>
      </c>
      <c r="C354" s="619">
        <v>371.31</v>
      </c>
    </row>
    <row r="355" spans="1:3">
      <c r="A355" s="619" t="s">
        <v>2919</v>
      </c>
      <c r="B355" s="619">
        <v>1</v>
      </c>
      <c r="C355" s="619">
        <v>372.49</v>
      </c>
    </row>
    <row r="356" spans="1:3">
      <c r="A356" s="619" t="s">
        <v>2920</v>
      </c>
      <c r="B356" s="619">
        <v>1</v>
      </c>
      <c r="C356" s="619">
        <v>370.76</v>
      </c>
    </row>
    <row r="357" spans="1:3">
      <c r="A357" s="619" t="s">
        <v>2921</v>
      </c>
      <c r="B357" s="619">
        <v>1</v>
      </c>
      <c r="C357" s="619">
        <v>371.35</v>
      </c>
    </row>
    <row r="358" spans="1:3">
      <c r="A358" s="619" t="s">
        <v>2922</v>
      </c>
      <c r="B358" s="619">
        <v>1</v>
      </c>
      <c r="C358" s="619">
        <v>371.35</v>
      </c>
    </row>
    <row r="359" spans="1:3">
      <c r="A359" s="619" t="s">
        <v>2923</v>
      </c>
      <c r="B359" s="619">
        <v>1</v>
      </c>
      <c r="C359" s="619">
        <v>371.35</v>
      </c>
    </row>
    <row r="360" spans="1:3">
      <c r="A360" s="619" t="s">
        <v>2924</v>
      </c>
      <c r="B360" s="619">
        <v>1</v>
      </c>
      <c r="C360" s="619">
        <v>371.68</v>
      </c>
    </row>
    <row r="361" spans="1:3">
      <c r="A361" s="619" t="s">
        <v>2925</v>
      </c>
      <c r="B361" s="619">
        <v>1</v>
      </c>
      <c r="C361" s="619">
        <v>371.08</v>
      </c>
    </row>
    <row r="362" spans="1:3">
      <c r="A362" s="619" t="s">
        <v>2926</v>
      </c>
      <c r="B362" s="619">
        <v>1</v>
      </c>
      <c r="C362" s="619">
        <v>373.56</v>
      </c>
    </row>
    <row r="363" spans="1:3">
      <c r="A363" s="619" t="s">
        <v>2927</v>
      </c>
      <c r="B363" s="619">
        <v>1</v>
      </c>
      <c r="C363" s="619">
        <v>375.15</v>
      </c>
    </row>
    <row r="364" spans="1:3">
      <c r="A364" s="619" t="s">
        <v>2928</v>
      </c>
      <c r="B364" s="619">
        <v>1</v>
      </c>
      <c r="C364" s="619">
        <v>380.44</v>
      </c>
    </row>
    <row r="365" spans="1:3">
      <c r="A365" s="619" t="s">
        <v>2929</v>
      </c>
      <c r="B365" s="619">
        <v>1</v>
      </c>
      <c r="C365" s="619">
        <v>384.2</v>
      </c>
    </row>
    <row r="366" spans="1:3">
      <c r="A366" s="619" t="s">
        <v>2930</v>
      </c>
      <c r="B366" s="619">
        <v>1</v>
      </c>
      <c r="C366" s="619">
        <v>384.2</v>
      </c>
    </row>
    <row r="368" spans="1:3">
      <c r="C368">
        <f>AVERAGE(C2:C366)</f>
        <v>344.90010958904048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0" zoomScaleNormal="80" workbookViewId="0">
      <selection activeCell="I37" sqref="I37"/>
    </sheetView>
  </sheetViews>
  <sheetFormatPr defaultColWidth="8.7109375" defaultRowHeight="12.75"/>
  <cols>
    <col min="1" max="2" width="8.7109375" style="2"/>
    <col min="3" max="4" width="10.42578125" style="2" bestFit="1" customWidth="1"/>
    <col min="5" max="6" width="8.85546875" style="2" bestFit="1" customWidth="1"/>
    <col min="7" max="8" width="10.42578125" style="2" bestFit="1" customWidth="1"/>
    <col min="9" max="9" width="12.140625" style="2" customWidth="1"/>
    <col min="10" max="10" width="12.42578125" style="2" customWidth="1"/>
    <col min="11" max="11" width="9.140625" style="2" bestFit="1" customWidth="1"/>
    <col min="12" max="12" width="11.28515625" style="2" bestFit="1" customWidth="1"/>
    <col min="13" max="16384" width="8.7109375" style="2"/>
  </cols>
  <sheetData>
    <row r="1" spans="1:14">
      <c r="A1" s="97" t="s">
        <v>460</v>
      </c>
      <c r="B1" s="98"/>
      <c r="C1" s="98"/>
      <c r="D1" s="98"/>
      <c r="E1" s="98"/>
      <c r="F1" s="98"/>
      <c r="G1" s="98"/>
      <c r="H1" s="98"/>
    </row>
    <row r="2" spans="1:14" ht="13.5" thickBot="1">
      <c r="A2" s="97" t="s">
        <v>607</v>
      </c>
      <c r="B2" s="98"/>
      <c r="C2" s="98"/>
      <c r="D2" s="98"/>
      <c r="E2" s="98"/>
      <c r="F2" s="98"/>
      <c r="G2" s="98"/>
      <c r="H2" s="98"/>
    </row>
    <row r="3" spans="1:14">
      <c r="A3" s="101" t="s">
        <v>342</v>
      </c>
      <c r="B3" s="102"/>
      <c r="C3" s="103" t="s">
        <v>51</v>
      </c>
      <c r="D3" s="102"/>
      <c r="E3" s="103" t="s">
        <v>52</v>
      </c>
      <c r="F3" s="102"/>
      <c r="G3" s="103" t="s">
        <v>53</v>
      </c>
      <c r="H3" s="104"/>
    </row>
    <row r="4" spans="1:14" ht="13.5" thickBot="1">
      <c r="A4" s="105" t="s">
        <v>463</v>
      </c>
      <c r="B4" s="106" t="s">
        <v>464</v>
      </c>
      <c r="C4" s="107" t="s">
        <v>54</v>
      </c>
      <c r="D4" s="107" t="s">
        <v>55</v>
      </c>
      <c r="E4" s="107" t="s">
        <v>54</v>
      </c>
      <c r="F4" s="107" t="s">
        <v>55</v>
      </c>
      <c r="G4" s="107" t="s">
        <v>54</v>
      </c>
      <c r="H4" s="108" t="s">
        <v>55</v>
      </c>
      <c r="I4" s="57">
        <v>43100</v>
      </c>
      <c r="J4" s="57">
        <v>43465</v>
      </c>
      <c r="K4" s="109" t="s">
        <v>606</v>
      </c>
    </row>
    <row r="5" spans="1:14">
      <c r="A5" s="110" t="s">
        <v>608</v>
      </c>
      <c r="B5" s="111" t="s">
        <v>609</v>
      </c>
      <c r="C5" s="112">
        <v>71.522000000000006</v>
      </c>
      <c r="D5" s="112">
        <v>0</v>
      </c>
      <c r="E5" s="112">
        <v>0</v>
      </c>
      <c r="F5" s="112">
        <v>0</v>
      </c>
      <c r="G5" s="112">
        <v>71.522000000000006</v>
      </c>
      <c r="H5" s="113">
        <v>0</v>
      </c>
      <c r="I5" s="41">
        <f>C5-D5</f>
        <v>71.522000000000006</v>
      </c>
      <c r="J5" s="41">
        <f>G5-H5</f>
        <v>71.522000000000006</v>
      </c>
      <c r="K5" s="2" t="s">
        <v>9</v>
      </c>
      <c r="M5" s="2">
        <v>102</v>
      </c>
      <c r="N5" s="2" t="s">
        <v>2</v>
      </c>
    </row>
    <row r="6" spans="1:14">
      <c r="A6" s="110" t="s">
        <v>610</v>
      </c>
      <c r="B6" s="111" t="s">
        <v>611</v>
      </c>
      <c r="C6" s="112">
        <v>0</v>
      </c>
      <c r="D6" s="112">
        <v>71.522000000000006</v>
      </c>
      <c r="E6" s="112">
        <v>0</v>
      </c>
      <c r="F6" s="112">
        <v>0</v>
      </c>
      <c r="G6" s="112">
        <v>0</v>
      </c>
      <c r="H6" s="113">
        <v>71.522000000000006</v>
      </c>
      <c r="I6" s="41">
        <f t="shared" ref="I6:I37" si="0">C6-D6</f>
        <v>-71.522000000000006</v>
      </c>
      <c r="J6" s="41">
        <f t="shared" ref="J6:J37" si="1">G6-H6</f>
        <v>-71.522000000000006</v>
      </c>
      <c r="K6" s="2" t="s">
        <v>9</v>
      </c>
      <c r="M6" s="2">
        <v>112</v>
      </c>
      <c r="N6" s="2" t="s">
        <v>2</v>
      </c>
    </row>
    <row r="7" spans="1:14">
      <c r="A7" s="110" t="s">
        <v>612</v>
      </c>
      <c r="B7" s="111" t="s">
        <v>613</v>
      </c>
      <c r="C7" s="112">
        <v>19.824999999999999</v>
      </c>
      <c r="D7" s="112">
        <v>0</v>
      </c>
      <c r="E7" s="112">
        <v>0</v>
      </c>
      <c r="F7" s="112">
        <v>0</v>
      </c>
      <c r="G7" s="112">
        <v>19.824999999999999</v>
      </c>
      <c r="H7" s="113">
        <v>0</v>
      </c>
      <c r="I7" s="41">
        <f t="shared" si="0"/>
        <v>19.824999999999999</v>
      </c>
      <c r="J7" s="41">
        <f t="shared" si="1"/>
        <v>19.824999999999999</v>
      </c>
      <c r="K7" s="2" t="s">
        <v>7</v>
      </c>
      <c r="M7" s="2">
        <v>125</v>
      </c>
      <c r="N7" s="2" t="s">
        <v>0</v>
      </c>
    </row>
    <row r="8" spans="1:14">
      <c r="A8" s="110" t="s">
        <v>614</v>
      </c>
      <c r="B8" s="111" t="s">
        <v>615</v>
      </c>
      <c r="C8" s="112">
        <v>0</v>
      </c>
      <c r="D8" s="112">
        <v>19.824999999999999</v>
      </c>
      <c r="E8" s="112">
        <v>0</v>
      </c>
      <c r="F8" s="112">
        <v>0</v>
      </c>
      <c r="G8" s="112">
        <v>0</v>
      </c>
      <c r="H8" s="113">
        <v>19.824999999999999</v>
      </c>
      <c r="I8" s="41">
        <f t="shared" si="0"/>
        <v>-19.824999999999999</v>
      </c>
      <c r="J8" s="41">
        <f t="shared" si="1"/>
        <v>-19.824999999999999</v>
      </c>
      <c r="K8" s="2" t="s">
        <v>7</v>
      </c>
      <c r="M8" s="2">
        <v>134</v>
      </c>
      <c r="N8" s="2" t="s">
        <v>0</v>
      </c>
    </row>
    <row r="9" spans="1:14">
      <c r="A9" s="110" t="s">
        <v>616</v>
      </c>
      <c r="B9" s="111" t="s">
        <v>490</v>
      </c>
      <c r="C9" s="112">
        <v>11.859680000000001</v>
      </c>
      <c r="D9" s="112">
        <v>0</v>
      </c>
      <c r="E9" s="112">
        <v>0</v>
      </c>
      <c r="F9" s="112">
        <v>0</v>
      </c>
      <c r="G9" s="112">
        <v>11.859680000000001</v>
      </c>
      <c r="H9" s="113">
        <v>0</v>
      </c>
      <c r="I9" s="41">
        <f t="shared" si="0"/>
        <v>11.859680000000001</v>
      </c>
      <c r="J9" s="41">
        <f t="shared" si="1"/>
        <v>11.859680000000001</v>
      </c>
      <c r="K9" s="2" t="s">
        <v>16</v>
      </c>
      <c r="M9" s="2">
        <v>221</v>
      </c>
      <c r="N9" s="2" t="s">
        <v>373</v>
      </c>
    </row>
    <row r="10" spans="1:14">
      <c r="A10" s="110" t="s">
        <v>618</v>
      </c>
      <c r="B10" s="111" t="s">
        <v>617</v>
      </c>
      <c r="C10" s="112">
        <v>6709.7142999999996</v>
      </c>
      <c r="D10" s="112">
        <v>0</v>
      </c>
      <c r="E10" s="112">
        <v>0</v>
      </c>
      <c r="F10" s="112">
        <v>0</v>
      </c>
      <c r="G10" s="112">
        <v>6709.7142999999996</v>
      </c>
      <c r="H10" s="113">
        <v>0</v>
      </c>
      <c r="I10" s="41"/>
      <c r="J10" s="41"/>
      <c r="K10" s="2" t="s">
        <v>19</v>
      </c>
      <c r="M10" s="2">
        <v>322</v>
      </c>
    </row>
    <row r="11" spans="1:14">
      <c r="A11" s="110" t="s">
        <v>619</v>
      </c>
      <c r="B11" s="111" t="s">
        <v>620</v>
      </c>
      <c r="C11" s="112">
        <v>6793.7766300000003</v>
      </c>
      <c r="D11" s="112">
        <v>0</v>
      </c>
      <c r="E11" s="112">
        <v>0</v>
      </c>
      <c r="F11" s="112">
        <v>0</v>
      </c>
      <c r="G11" s="112">
        <v>6793.7766300000003</v>
      </c>
      <c r="H11" s="113">
        <v>0</v>
      </c>
      <c r="I11" s="41"/>
      <c r="J11" s="41"/>
      <c r="K11" s="2" t="s">
        <v>19</v>
      </c>
      <c r="M11" s="2">
        <v>333.1</v>
      </c>
    </row>
    <row r="12" spans="1:14">
      <c r="A12" s="110" t="s">
        <v>621</v>
      </c>
      <c r="B12" s="111" t="s">
        <v>622</v>
      </c>
      <c r="C12" s="112">
        <v>0</v>
      </c>
      <c r="D12" s="112">
        <v>9.2469999999999999</v>
      </c>
      <c r="E12" s="112">
        <v>0</v>
      </c>
      <c r="F12" s="112">
        <v>0</v>
      </c>
      <c r="G12" s="112">
        <v>0</v>
      </c>
      <c r="H12" s="113">
        <v>9.2469999999999999</v>
      </c>
      <c r="I12" s="41">
        <f t="shared" si="0"/>
        <v>-9.2469999999999999</v>
      </c>
      <c r="J12" s="41">
        <f t="shared" si="1"/>
        <v>-9.2469999999999999</v>
      </c>
      <c r="K12" s="2" t="s">
        <v>19</v>
      </c>
      <c r="M12" s="2">
        <v>503</v>
      </c>
    </row>
    <row r="13" spans="1:14">
      <c r="A13" s="110" t="s">
        <v>623</v>
      </c>
      <c r="B13" s="111" t="s">
        <v>624</v>
      </c>
      <c r="C13" s="112">
        <v>0.15165000000000001</v>
      </c>
      <c r="D13" s="112">
        <v>0</v>
      </c>
      <c r="E13" s="112">
        <v>0</v>
      </c>
      <c r="F13" s="112">
        <v>0</v>
      </c>
      <c r="G13" s="112">
        <v>0.15165000000000001</v>
      </c>
      <c r="H13" s="113">
        <v>0</v>
      </c>
      <c r="I13" s="41">
        <f t="shared" si="0"/>
        <v>0.15165000000000001</v>
      </c>
      <c r="J13" s="41">
        <f t="shared" si="1"/>
        <v>0.15165000000000001</v>
      </c>
      <c r="K13" s="2" t="s">
        <v>19</v>
      </c>
      <c r="M13" s="2">
        <v>562</v>
      </c>
    </row>
    <row r="14" spans="1:14">
      <c r="A14" s="110" t="s">
        <v>625</v>
      </c>
      <c r="B14" s="111" t="s">
        <v>626</v>
      </c>
      <c r="C14" s="112">
        <v>2.2858400000000003</v>
      </c>
      <c r="D14" s="112">
        <v>0</v>
      </c>
      <c r="E14" s="112">
        <v>0</v>
      </c>
      <c r="F14" s="112">
        <v>0</v>
      </c>
      <c r="G14" s="112">
        <v>2.2858400000000003</v>
      </c>
      <c r="H14" s="113">
        <v>0</v>
      </c>
      <c r="I14" s="41">
        <f t="shared" si="0"/>
        <v>2.2858400000000003</v>
      </c>
      <c r="J14" s="41">
        <f t="shared" si="1"/>
        <v>2.2858400000000003</v>
      </c>
      <c r="K14" s="2" t="s">
        <v>19</v>
      </c>
      <c r="M14" s="2">
        <v>571</v>
      </c>
    </row>
    <row r="15" spans="1:14">
      <c r="A15" s="110" t="s">
        <v>627</v>
      </c>
      <c r="B15" s="111" t="s">
        <v>628</v>
      </c>
      <c r="C15" s="112">
        <v>0</v>
      </c>
      <c r="D15" s="112">
        <v>1000</v>
      </c>
      <c r="E15" s="112">
        <v>0</v>
      </c>
      <c r="F15" s="112">
        <v>0</v>
      </c>
      <c r="G15" s="112">
        <v>0</v>
      </c>
      <c r="H15" s="113">
        <v>1000</v>
      </c>
      <c r="I15" s="41">
        <f t="shared" si="0"/>
        <v>-1000</v>
      </c>
      <c r="J15" s="41">
        <f t="shared" si="1"/>
        <v>-1000</v>
      </c>
      <c r="K15" s="2" t="s">
        <v>28</v>
      </c>
      <c r="M15" s="2">
        <v>631.1</v>
      </c>
      <c r="N15" s="2" t="s">
        <v>374</v>
      </c>
    </row>
    <row r="16" spans="1:14">
      <c r="A16" s="110" t="s">
        <v>629</v>
      </c>
      <c r="B16" s="111" t="s">
        <v>630</v>
      </c>
      <c r="C16" s="112">
        <v>22747.503949999998</v>
      </c>
      <c r="D16" s="112">
        <v>0</v>
      </c>
      <c r="E16" s="112">
        <v>0</v>
      </c>
      <c r="F16" s="112">
        <v>0</v>
      </c>
      <c r="G16" s="112">
        <v>22747.503949999998</v>
      </c>
      <c r="H16" s="113">
        <v>0</v>
      </c>
      <c r="I16" s="41">
        <f t="shared" si="0"/>
        <v>22747.503949999998</v>
      </c>
      <c r="J16" s="41">
        <f t="shared" si="1"/>
        <v>22747.503949999998</v>
      </c>
      <c r="K16" s="2" t="s">
        <v>29</v>
      </c>
      <c r="M16" s="2">
        <v>633.1</v>
      </c>
      <c r="N16" s="2" t="s">
        <v>380</v>
      </c>
    </row>
    <row r="17" spans="1:14">
      <c r="A17" s="110" t="s">
        <v>631</v>
      </c>
      <c r="B17" s="111" t="s">
        <v>632</v>
      </c>
      <c r="C17" s="112">
        <v>85701.358370000002</v>
      </c>
      <c r="D17" s="112">
        <v>0</v>
      </c>
      <c r="E17" s="112">
        <v>3.0085100000000002</v>
      </c>
      <c r="F17" s="112">
        <v>-5.0000000000000001E-4</v>
      </c>
      <c r="G17" s="112">
        <v>85704.367379999996</v>
      </c>
      <c r="H17" s="113">
        <v>0</v>
      </c>
      <c r="I17" s="41">
        <f t="shared" si="0"/>
        <v>85701.358370000002</v>
      </c>
      <c r="J17" s="41">
        <f t="shared" si="1"/>
        <v>85704.367379999996</v>
      </c>
      <c r="K17" s="2" t="s">
        <v>29</v>
      </c>
      <c r="M17" s="2">
        <v>635.1</v>
      </c>
      <c r="N17" s="2" t="s">
        <v>380</v>
      </c>
    </row>
    <row r="18" spans="1:14">
      <c r="A18" s="110" t="s">
        <v>633</v>
      </c>
      <c r="B18" s="111" t="s">
        <v>634</v>
      </c>
      <c r="C18" s="112">
        <v>0</v>
      </c>
      <c r="D18" s="112">
        <v>-330.916</v>
      </c>
      <c r="E18" s="112">
        <v>0</v>
      </c>
      <c r="F18" s="112">
        <v>0</v>
      </c>
      <c r="G18" s="112">
        <v>0</v>
      </c>
      <c r="H18" s="113">
        <v>-330.916</v>
      </c>
      <c r="I18" s="41">
        <f t="shared" si="0"/>
        <v>330.916</v>
      </c>
      <c r="J18" s="41">
        <f t="shared" si="1"/>
        <v>330.916</v>
      </c>
      <c r="K18" s="2" t="s">
        <v>38</v>
      </c>
      <c r="M18" s="2">
        <v>635.20000000000005</v>
      </c>
      <c r="N18" s="2" t="s">
        <v>380</v>
      </c>
    </row>
    <row r="19" spans="1:14">
      <c r="A19" s="110" t="s">
        <v>635</v>
      </c>
      <c r="B19" s="111" t="s">
        <v>636</v>
      </c>
      <c r="C19" s="112">
        <v>0</v>
      </c>
      <c r="D19" s="112">
        <v>-218.58770000000001</v>
      </c>
      <c r="E19" s="112">
        <v>0</v>
      </c>
      <c r="F19" s="112">
        <v>0</v>
      </c>
      <c r="G19" s="112">
        <v>0</v>
      </c>
      <c r="H19" s="113">
        <v>-218.58770000000001</v>
      </c>
      <c r="I19" s="41">
        <f t="shared" si="0"/>
        <v>218.58770000000001</v>
      </c>
      <c r="J19" s="41">
        <f t="shared" si="1"/>
        <v>218.58770000000001</v>
      </c>
      <c r="K19" s="2" t="s">
        <v>38</v>
      </c>
      <c r="M19" s="2">
        <v>636</v>
      </c>
      <c r="N19" s="2" t="s">
        <v>380</v>
      </c>
    </row>
    <row r="20" spans="1:14">
      <c r="A20" s="110" t="s">
        <v>637</v>
      </c>
      <c r="B20" s="111" t="s">
        <v>638</v>
      </c>
      <c r="C20" s="112">
        <v>15.449389999999999</v>
      </c>
      <c r="D20" s="112">
        <v>0</v>
      </c>
      <c r="E20" s="112">
        <v>0</v>
      </c>
      <c r="F20" s="112">
        <v>0</v>
      </c>
      <c r="G20" s="112">
        <v>15.449389999999999</v>
      </c>
      <c r="H20" s="113">
        <v>0</v>
      </c>
      <c r="I20" s="41">
        <f t="shared" si="0"/>
        <v>15.449389999999999</v>
      </c>
      <c r="J20" s="41">
        <f t="shared" si="1"/>
        <v>15.449389999999999</v>
      </c>
      <c r="K20" s="2" t="s">
        <v>38</v>
      </c>
      <c r="M20" s="2">
        <v>637</v>
      </c>
      <c r="N20" s="2" t="s">
        <v>380</v>
      </c>
    </row>
    <row r="21" spans="1:14">
      <c r="A21" s="110" t="s">
        <v>639</v>
      </c>
      <c r="B21" s="111" t="s">
        <v>640</v>
      </c>
      <c r="C21" s="112">
        <v>7.5178199999999995</v>
      </c>
      <c r="D21" s="112">
        <v>0</v>
      </c>
      <c r="E21" s="112">
        <v>0</v>
      </c>
      <c r="F21" s="112">
        <v>0</v>
      </c>
      <c r="G21" s="112">
        <v>7.5178199999999995</v>
      </c>
      <c r="H21" s="113">
        <v>0</v>
      </c>
      <c r="I21" s="41">
        <f t="shared" si="0"/>
        <v>7.5178199999999995</v>
      </c>
      <c r="J21" s="41">
        <f t="shared" si="1"/>
        <v>7.5178199999999995</v>
      </c>
      <c r="K21" s="2" t="s">
        <v>38</v>
      </c>
      <c r="M21" s="2">
        <v>638</v>
      </c>
      <c r="N21" s="2" t="s">
        <v>380</v>
      </c>
    </row>
    <row r="22" spans="1:14">
      <c r="A22" s="110" t="s">
        <v>641</v>
      </c>
      <c r="B22" s="111" t="s">
        <v>527</v>
      </c>
      <c r="C22" s="112">
        <v>4.5170000000000003</v>
      </c>
      <c r="D22" s="112">
        <v>0</v>
      </c>
      <c r="E22" s="112">
        <v>0</v>
      </c>
      <c r="F22" s="112">
        <v>0</v>
      </c>
      <c r="G22" s="112">
        <v>4.5170000000000003</v>
      </c>
      <c r="H22" s="113">
        <v>0</v>
      </c>
      <c r="I22" s="41">
        <f t="shared" si="0"/>
        <v>4.5170000000000003</v>
      </c>
      <c r="J22" s="41">
        <f t="shared" si="1"/>
        <v>4.5170000000000003</v>
      </c>
      <c r="K22" s="2" t="s">
        <v>38</v>
      </c>
      <c r="M22" s="2">
        <v>639.1</v>
      </c>
      <c r="N22" s="2" t="s">
        <v>380</v>
      </c>
    </row>
    <row r="23" spans="1:14">
      <c r="A23" s="110" t="s">
        <v>642</v>
      </c>
      <c r="B23" s="111" t="s">
        <v>531</v>
      </c>
      <c r="C23" s="112">
        <v>66.78</v>
      </c>
      <c r="D23" s="112">
        <v>0</v>
      </c>
      <c r="E23" s="112">
        <v>0</v>
      </c>
      <c r="F23" s="112">
        <v>0</v>
      </c>
      <c r="G23" s="112">
        <v>66.78</v>
      </c>
      <c r="H23" s="113">
        <v>0</v>
      </c>
      <c r="I23" s="41">
        <f t="shared" si="0"/>
        <v>66.78</v>
      </c>
      <c r="J23" s="41">
        <f t="shared" si="1"/>
        <v>66.78</v>
      </c>
      <c r="K23" s="2" t="s">
        <v>38</v>
      </c>
      <c r="M23" s="2">
        <v>639.29999999999995</v>
      </c>
      <c r="N23" s="2" t="s">
        <v>380</v>
      </c>
    </row>
    <row r="24" spans="1:14">
      <c r="A24" s="110" t="s">
        <v>643</v>
      </c>
      <c r="B24" s="111" t="s">
        <v>644</v>
      </c>
      <c r="C24" s="112">
        <v>62.732999999999997</v>
      </c>
      <c r="D24" s="112">
        <v>0</v>
      </c>
      <c r="E24" s="112">
        <v>0</v>
      </c>
      <c r="F24" s="112">
        <v>0</v>
      </c>
      <c r="G24" s="112">
        <v>62.732999999999997</v>
      </c>
      <c r="H24" s="113">
        <v>0</v>
      </c>
      <c r="I24" s="41">
        <f t="shared" si="0"/>
        <v>62.732999999999997</v>
      </c>
      <c r="J24" s="41">
        <f t="shared" si="1"/>
        <v>62.732999999999997</v>
      </c>
      <c r="K24" s="2" t="s">
        <v>38</v>
      </c>
      <c r="M24" s="2">
        <v>639.6</v>
      </c>
      <c r="N24" s="2" t="s">
        <v>380</v>
      </c>
    </row>
    <row r="25" spans="1:14">
      <c r="A25" s="110" t="s">
        <v>645</v>
      </c>
      <c r="B25" s="111" t="s">
        <v>522</v>
      </c>
      <c r="C25" s="112">
        <v>124.13166</v>
      </c>
      <c r="D25" s="112">
        <v>0</v>
      </c>
      <c r="E25" s="112">
        <v>0</v>
      </c>
      <c r="F25" s="112">
        <v>0</v>
      </c>
      <c r="G25" s="112">
        <v>124.13166</v>
      </c>
      <c r="H25" s="113">
        <v>0</v>
      </c>
      <c r="I25" s="41">
        <f t="shared" si="0"/>
        <v>124.13166</v>
      </c>
      <c r="J25" s="41">
        <f t="shared" si="1"/>
        <v>124.13166</v>
      </c>
      <c r="K25" s="2" t="s">
        <v>38</v>
      </c>
      <c r="M25" s="2">
        <v>642</v>
      </c>
      <c r="N25" s="2" t="s">
        <v>380</v>
      </c>
    </row>
    <row r="26" spans="1:14">
      <c r="A26" s="110" t="s">
        <v>646</v>
      </c>
      <c r="B26" s="111" t="s">
        <v>647</v>
      </c>
      <c r="C26" s="112">
        <v>3.5664899999999999</v>
      </c>
      <c r="D26" s="112">
        <v>0</v>
      </c>
      <c r="E26" s="112">
        <v>0</v>
      </c>
      <c r="F26" s="112">
        <v>0</v>
      </c>
      <c r="G26" s="112">
        <v>3.5664899999999999</v>
      </c>
      <c r="H26" s="113">
        <v>0</v>
      </c>
      <c r="I26" s="41">
        <f t="shared" si="0"/>
        <v>3.5664899999999999</v>
      </c>
      <c r="J26" s="41">
        <f t="shared" si="1"/>
        <v>3.5664899999999999</v>
      </c>
      <c r="K26" s="2" t="s">
        <v>38</v>
      </c>
      <c r="M26" s="2">
        <v>681.1</v>
      </c>
      <c r="N26" s="2" t="s">
        <v>380</v>
      </c>
    </row>
    <row r="27" spans="1:14">
      <c r="A27" s="110" t="s">
        <v>648</v>
      </c>
      <c r="B27" s="111" t="s">
        <v>649</v>
      </c>
      <c r="C27" s="112">
        <v>5.7000000000000002E-2</v>
      </c>
      <c r="D27" s="112">
        <v>0</v>
      </c>
      <c r="E27" s="112">
        <v>0</v>
      </c>
      <c r="F27" s="112">
        <v>0</v>
      </c>
      <c r="G27" s="112">
        <v>5.7000000000000002E-2</v>
      </c>
      <c r="H27" s="113">
        <v>0</v>
      </c>
      <c r="I27" s="41">
        <f t="shared" si="0"/>
        <v>5.7000000000000002E-2</v>
      </c>
      <c r="J27" s="41">
        <f t="shared" si="1"/>
        <v>5.7000000000000002E-2</v>
      </c>
      <c r="K27" s="2" t="s">
        <v>38</v>
      </c>
      <c r="M27" s="2">
        <v>681.2</v>
      </c>
      <c r="N27" s="2" t="s">
        <v>380</v>
      </c>
    </row>
    <row r="28" spans="1:14">
      <c r="A28" s="110" t="s">
        <v>650</v>
      </c>
      <c r="B28" s="111" t="s">
        <v>651</v>
      </c>
      <c r="C28" s="112">
        <v>0</v>
      </c>
      <c r="D28" s="112">
        <v>115072.71962999999</v>
      </c>
      <c r="E28" s="112">
        <v>0</v>
      </c>
      <c r="F28" s="112">
        <v>0</v>
      </c>
      <c r="G28" s="112">
        <v>0</v>
      </c>
      <c r="H28" s="113">
        <v>115072.71962999999</v>
      </c>
      <c r="I28" s="41">
        <f>C28-D28+C10</f>
        <v>-108363.00532999999</v>
      </c>
      <c r="J28" s="41">
        <f>G28-H28+G10</f>
        <v>-108363.00532999999</v>
      </c>
      <c r="K28" s="2" t="s">
        <v>38</v>
      </c>
      <c r="M28" s="2">
        <v>686</v>
      </c>
      <c r="N28" s="2" t="s">
        <v>380</v>
      </c>
    </row>
    <row r="29" spans="1:14">
      <c r="A29" s="110" t="s">
        <v>652</v>
      </c>
      <c r="B29" s="111" t="s">
        <v>653</v>
      </c>
      <c r="C29" s="112">
        <v>0</v>
      </c>
      <c r="D29" s="112">
        <v>6709.7142999999996</v>
      </c>
      <c r="E29" s="112">
        <v>0</v>
      </c>
      <c r="F29" s="112">
        <v>0</v>
      </c>
      <c r="G29" s="112">
        <v>0</v>
      </c>
      <c r="H29" s="113">
        <v>6709.7142999999996</v>
      </c>
      <c r="I29" s="41">
        <f>C29-D29+C11</f>
        <v>84.062330000000657</v>
      </c>
      <c r="J29" s="41">
        <f>G29-H29+G11</f>
        <v>84.062330000000657</v>
      </c>
      <c r="K29" s="2" t="s">
        <v>38</v>
      </c>
      <c r="M29" s="2">
        <v>687.6</v>
      </c>
      <c r="N29" s="2" t="s">
        <v>380</v>
      </c>
    </row>
    <row r="30" spans="1:14">
      <c r="A30" s="110" t="s">
        <v>654</v>
      </c>
      <c r="B30" s="111" t="s">
        <v>655</v>
      </c>
      <c r="C30" s="112">
        <v>0</v>
      </c>
      <c r="D30" s="112">
        <v>5.0000000000000001E-4</v>
      </c>
      <c r="E30" s="112">
        <v>0</v>
      </c>
      <c r="F30" s="112">
        <v>0</v>
      </c>
      <c r="G30" s="112">
        <v>0</v>
      </c>
      <c r="H30" s="113">
        <v>5.0000000000000001E-4</v>
      </c>
      <c r="I30" s="41">
        <f t="shared" si="0"/>
        <v>-5.0000000000000001E-4</v>
      </c>
      <c r="J30" s="41">
        <f t="shared" si="1"/>
        <v>-5.0000000000000001E-4</v>
      </c>
      <c r="K30" s="2" t="s">
        <v>38</v>
      </c>
      <c r="M30" s="2">
        <v>821.1</v>
      </c>
      <c r="N30" s="2" t="s">
        <v>380</v>
      </c>
    </row>
    <row r="31" spans="1:14">
      <c r="A31" s="110" t="s">
        <v>656</v>
      </c>
      <c r="B31" s="111" t="s">
        <v>657</v>
      </c>
      <c r="C31" s="112">
        <v>0</v>
      </c>
      <c r="D31" s="112">
        <v>108.94712</v>
      </c>
      <c r="E31" s="112">
        <v>0</v>
      </c>
      <c r="F31" s="112">
        <v>0</v>
      </c>
      <c r="G31" s="112">
        <v>0</v>
      </c>
      <c r="H31" s="113">
        <v>108.94712</v>
      </c>
      <c r="I31" s="41">
        <f t="shared" si="0"/>
        <v>-108.94712</v>
      </c>
      <c r="J31" s="41">
        <f t="shared" si="1"/>
        <v>-108.94712</v>
      </c>
      <c r="K31" s="2" t="s">
        <v>38</v>
      </c>
    </row>
    <row r="32" spans="1:14">
      <c r="A32" s="110" t="s">
        <v>658</v>
      </c>
      <c r="B32" s="111" t="s">
        <v>659</v>
      </c>
      <c r="C32" s="112">
        <v>0</v>
      </c>
      <c r="D32" s="112">
        <v>5.4813599999999996</v>
      </c>
      <c r="E32" s="112">
        <v>0</v>
      </c>
      <c r="F32" s="112">
        <v>0</v>
      </c>
      <c r="G32" s="112">
        <v>0</v>
      </c>
      <c r="H32" s="113">
        <v>5.4813599999999996</v>
      </c>
      <c r="I32" s="41">
        <f t="shared" si="0"/>
        <v>-5.4813599999999996</v>
      </c>
      <c r="J32" s="41">
        <f t="shared" si="1"/>
        <v>-5.4813599999999996</v>
      </c>
      <c r="K32" s="2" t="s">
        <v>38</v>
      </c>
    </row>
    <row r="33" spans="1:11">
      <c r="A33" s="110" t="s">
        <v>660</v>
      </c>
      <c r="B33" s="111" t="s">
        <v>661</v>
      </c>
      <c r="C33" s="112">
        <v>0</v>
      </c>
      <c r="D33" s="112">
        <v>-0.62161999999999995</v>
      </c>
      <c r="E33" s="112">
        <v>0</v>
      </c>
      <c r="F33" s="112">
        <v>0</v>
      </c>
      <c r="G33" s="112">
        <v>0</v>
      </c>
      <c r="H33" s="113">
        <v>-0.62161999999999995</v>
      </c>
      <c r="I33" s="41">
        <f t="shared" si="0"/>
        <v>0.62161999999999995</v>
      </c>
      <c r="J33" s="41">
        <f t="shared" si="1"/>
        <v>0.62161999999999995</v>
      </c>
      <c r="K33" s="2" t="s">
        <v>38</v>
      </c>
    </row>
    <row r="34" spans="1:11">
      <c r="A34" s="110" t="s">
        <v>663</v>
      </c>
      <c r="B34" s="111" t="s">
        <v>664</v>
      </c>
      <c r="C34" s="112">
        <v>101.5728</v>
      </c>
      <c r="D34" s="112">
        <v>0</v>
      </c>
      <c r="E34" s="112">
        <v>0</v>
      </c>
      <c r="F34" s="112">
        <v>0</v>
      </c>
      <c r="G34" s="112">
        <v>101.5728</v>
      </c>
      <c r="H34" s="113">
        <v>0</v>
      </c>
      <c r="I34" s="41">
        <f t="shared" si="0"/>
        <v>101.5728</v>
      </c>
      <c r="J34" s="41">
        <f t="shared" si="1"/>
        <v>101.5728</v>
      </c>
      <c r="K34" s="2" t="s">
        <v>38</v>
      </c>
    </row>
    <row r="35" spans="1:11">
      <c r="A35" s="110" t="s">
        <v>665</v>
      </c>
      <c r="B35" s="111" t="s">
        <v>662</v>
      </c>
      <c r="C35" s="112">
        <v>0</v>
      </c>
      <c r="D35" s="112">
        <v>-5.0000000000000001E-4</v>
      </c>
      <c r="E35" s="112">
        <v>-5.0000000000000001E-4</v>
      </c>
      <c r="F35" s="112">
        <v>0</v>
      </c>
      <c r="G35" s="112">
        <v>0</v>
      </c>
      <c r="H35" s="113">
        <v>0</v>
      </c>
      <c r="I35" s="41">
        <f t="shared" si="0"/>
        <v>5.0000000000000001E-4</v>
      </c>
      <c r="J35" s="41">
        <f t="shared" si="1"/>
        <v>0</v>
      </c>
      <c r="K35" s="2" t="s">
        <v>38</v>
      </c>
    </row>
    <row r="36" spans="1:11">
      <c r="A36" s="110" t="s">
        <v>666</v>
      </c>
      <c r="B36" s="111" t="s">
        <v>667</v>
      </c>
      <c r="C36" s="112">
        <v>5.4459999999999997</v>
      </c>
      <c r="D36" s="112">
        <v>0</v>
      </c>
      <c r="E36" s="112">
        <v>0</v>
      </c>
      <c r="F36" s="112">
        <v>5.4459999999999997</v>
      </c>
      <c r="G36" s="113">
        <v>0</v>
      </c>
      <c r="H36" s="113">
        <v>0</v>
      </c>
      <c r="I36" s="41">
        <f t="shared" si="0"/>
        <v>5.4459999999999997</v>
      </c>
      <c r="J36" s="41">
        <f t="shared" si="1"/>
        <v>0</v>
      </c>
      <c r="K36" s="2">
        <v>0</v>
      </c>
    </row>
    <row r="37" spans="1:11" ht="13.5" thickBot="1">
      <c r="A37" s="110" t="s">
        <v>668</v>
      </c>
      <c r="B37" s="111" t="s">
        <v>669</v>
      </c>
      <c r="C37" s="112">
        <v>-2.4374899999999999</v>
      </c>
      <c r="D37" s="112">
        <v>0</v>
      </c>
      <c r="E37" s="112">
        <v>0</v>
      </c>
      <c r="F37" s="112">
        <v>-2.4374899999999999</v>
      </c>
      <c r="G37" s="113">
        <v>0</v>
      </c>
      <c r="H37" s="113">
        <v>0</v>
      </c>
      <c r="I37" s="41">
        <f t="shared" si="0"/>
        <v>-2.4374899999999999</v>
      </c>
      <c r="J37" s="41">
        <f t="shared" si="1"/>
        <v>0</v>
      </c>
      <c r="K37" s="2">
        <v>0</v>
      </c>
    </row>
    <row r="38" spans="1:11" ht="13.5" thickBot="1">
      <c r="A38" s="115"/>
      <c r="B38" s="116"/>
      <c r="C38" s="117">
        <v>122447.33109000001</v>
      </c>
      <c r="D38" s="117">
        <v>122447.33109000001</v>
      </c>
      <c r="E38" s="117">
        <v>3.0080100000000001</v>
      </c>
      <c r="F38" s="117">
        <v>3.0080100000000001</v>
      </c>
      <c r="G38" s="117">
        <v>122447.33159</v>
      </c>
      <c r="H38" s="118">
        <v>122447.33159</v>
      </c>
    </row>
    <row r="39" spans="1:11">
      <c r="D39" s="41">
        <f>D28-C10</f>
        <v>108363.00532999999</v>
      </c>
    </row>
    <row r="41" spans="1:11">
      <c r="D41" s="41"/>
      <c r="I41" s="41">
        <f>I16-I17</f>
        <v>-62953.854420000003</v>
      </c>
      <c r="J41" s="41">
        <f>J16-J17</f>
        <v>-62956.863429999998</v>
      </c>
      <c r="K41" s="41"/>
    </row>
    <row r="44" spans="1:11">
      <c r="J44" s="41"/>
    </row>
    <row r="48" spans="1:11">
      <c r="J48" s="219"/>
    </row>
    <row r="49" spans="11:12">
      <c r="K49" s="219"/>
      <c r="L49" s="219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0" zoomScaleNormal="80" workbookViewId="0">
      <selection activeCell="A6" sqref="A6:A22"/>
    </sheetView>
  </sheetViews>
  <sheetFormatPr defaultColWidth="8.7109375" defaultRowHeight="12.75"/>
  <cols>
    <col min="1" max="1" width="8.7109375" style="2"/>
    <col min="2" max="2" width="14.28515625" style="2" bestFit="1" customWidth="1"/>
    <col min="3" max="5" width="16.140625" style="2" bestFit="1" customWidth="1"/>
    <col min="6" max="6" width="14.28515625" style="2" bestFit="1" customWidth="1"/>
    <col min="7" max="7" width="16.140625" style="2" bestFit="1" customWidth="1"/>
    <col min="8" max="8" width="16.140625" style="2" customWidth="1"/>
    <col min="9" max="9" width="16.140625" style="3" customWidth="1"/>
    <col min="10" max="16384" width="8.7109375" style="2"/>
  </cols>
  <sheetData>
    <row r="1" spans="1:10">
      <c r="A1" s="69" t="s">
        <v>446</v>
      </c>
      <c r="B1" s="71"/>
      <c r="C1" s="71"/>
      <c r="D1" s="71"/>
      <c r="E1" s="71"/>
      <c r="F1" s="71"/>
      <c r="G1" s="71"/>
      <c r="H1" s="71"/>
      <c r="I1" s="81"/>
    </row>
    <row r="2" spans="1:10">
      <c r="A2" s="69" t="s">
        <v>45</v>
      </c>
      <c r="B2" s="71"/>
      <c r="C2" s="71"/>
      <c r="D2" s="71"/>
      <c r="E2" s="71"/>
      <c r="F2" s="71"/>
      <c r="G2" s="71"/>
      <c r="H2" s="71"/>
      <c r="I2" s="81"/>
    </row>
    <row r="3" spans="1:10">
      <c r="A3" s="71" t="s">
        <v>46</v>
      </c>
      <c r="B3" s="71" t="s">
        <v>47</v>
      </c>
      <c r="C3" s="71"/>
      <c r="D3" s="71"/>
      <c r="E3" s="71"/>
      <c r="F3" s="71"/>
      <c r="G3" s="71"/>
      <c r="H3" s="71"/>
      <c r="I3" s="81"/>
    </row>
    <row r="4" spans="1:10">
      <c r="A4" s="944" t="s">
        <v>50</v>
      </c>
      <c r="B4" s="946" t="s">
        <v>51</v>
      </c>
      <c r="C4" s="946"/>
      <c r="D4" s="946" t="s">
        <v>52</v>
      </c>
      <c r="E4" s="946"/>
      <c r="F4" s="946" t="s">
        <v>53</v>
      </c>
      <c r="G4" s="946"/>
      <c r="H4" s="82"/>
      <c r="I4" s="82"/>
    </row>
    <row r="5" spans="1:10">
      <c r="A5" s="945"/>
      <c r="B5" s="70" t="s">
        <v>54</v>
      </c>
      <c r="C5" s="70" t="s">
        <v>55</v>
      </c>
      <c r="D5" s="70" t="s">
        <v>54</v>
      </c>
      <c r="E5" s="70" t="s">
        <v>55</v>
      </c>
      <c r="F5" s="70" t="s">
        <v>54</v>
      </c>
      <c r="G5" s="77" t="s">
        <v>55</v>
      </c>
      <c r="H5" s="82"/>
      <c r="I5" s="82"/>
    </row>
    <row r="6" spans="1:10">
      <c r="A6" s="72" t="s">
        <v>62</v>
      </c>
      <c r="B6" s="73">
        <v>1079.0538100000001</v>
      </c>
      <c r="C6" s="73">
        <v>0</v>
      </c>
      <c r="D6" s="73">
        <v>13778.733829999999</v>
      </c>
      <c r="E6" s="73">
        <v>13671.001420000001</v>
      </c>
      <c r="F6" s="73">
        <v>1186.78622</v>
      </c>
      <c r="G6" s="78">
        <v>0</v>
      </c>
      <c r="H6" s="83"/>
      <c r="I6" s="83">
        <f>F6-G6</f>
        <v>1186.78622</v>
      </c>
      <c r="J6" s="2" t="s">
        <v>24</v>
      </c>
    </row>
    <row r="7" spans="1:10">
      <c r="A7" s="72" t="s">
        <v>72</v>
      </c>
      <c r="B7" s="73">
        <v>0</v>
      </c>
      <c r="C7" s="73">
        <v>0</v>
      </c>
      <c r="D7" s="73">
        <v>118.455</v>
      </c>
      <c r="E7" s="73">
        <v>118.455</v>
      </c>
      <c r="F7" s="73">
        <v>0</v>
      </c>
      <c r="G7" s="78">
        <v>0</v>
      </c>
      <c r="H7" s="247"/>
      <c r="I7" s="83">
        <f t="shared" ref="I7:I21" si="0">F7-G7</f>
        <v>0</v>
      </c>
      <c r="J7" s="2" t="s">
        <v>19</v>
      </c>
    </row>
    <row r="8" spans="1:10">
      <c r="A8" s="72" t="s">
        <v>447</v>
      </c>
      <c r="B8" s="73">
        <v>0</v>
      </c>
      <c r="C8" s="73">
        <v>0</v>
      </c>
      <c r="D8" s="73">
        <v>250</v>
      </c>
      <c r="E8" s="73">
        <v>250</v>
      </c>
      <c r="F8" s="73">
        <v>0</v>
      </c>
      <c r="G8" s="78">
        <v>0</v>
      </c>
      <c r="H8" s="247"/>
      <c r="I8" s="83">
        <f t="shared" si="0"/>
        <v>0</v>
      </c>
      <c r="J8" s="2" t="s">
        <v>19</v>
      </c>
    </row>
    <row r="9" spans="1:10">
      <c r="A9" s="72" t="s">
        <v>411</v>
      </c>
      <c r="B9" s="73">
        <v>0</v>
      </c>
      <c r="C9" s="73">
        <v>0</v>
      </c>
      <c r="D9" s="73">
        <v>57.372999999999998</v>
      </c>
      <c r="E9" s="73">
        <v>57.372999999999998</v>
      </c>
      <c r="F9" s="73">
        <v>0</v>
      </c>
      <c r="G9" s="78">
        <v>0</v>
      </c>
      <c r="H9" s="247"/>
      <c r="I9" s="83">
        <f t="shared" si="0"/>
        <v>0</v>
      </c>
      <c r="J9" s="2" t="s">
        <v>11</v>
      </c>
    </row>
    <row r="10" spans="1:10">
      <c r="A10" s="72" t="s">
        <v>413</v>
      </c>
      <c r="B10" s="73">
        <v>0</v>
      </c>
      <c r="C10" s="73">
        <v>0</v>
      </c>
      <c r="D10" s="73">
        <v>134</v>
      </c>
      <c r="E10" s="73">
        <v>114</v>
      </c>
      <c r="F10" s="73">
        <v>20</v>
      </c>
      <c r="G10" s="78">
        <v>0</v>
      </c>
      <c r="H10" s="247"/>
      <c r="I10" s="83">
        <f t="shared" si="0"/>
        <v>20</v>
      </c>
      <c r="J10" s="2" t="s">
        <v>12</v>
      </c>
    </row>
    <row r="11" spans="1:10">
      <c r="A11" s="72" t="s">
        <v>414</v>
      </c>
      <c r="B11" s="73">
        <v>4615.38465</v>
      </c>
      <c r="C11" s="73">
        <v>0</v>
      </c>
      <c r="D11" s="73">
        <v>0</v>
      </c>
      <c r="E11" s="73">
        <v>4615.38465</v>
      </c>
      <c r="F11" s="73">
        <v>0</v>
      </c>
      <c r="G11" s="78">
        <v>0</v>
      </c>
      <c r="H11" s="247"/>
      <c r="I11" s="83">
        <f t="shared" si="0"/>
        <v>0</v>
      </c>
      <c r="J11" s="2" t="s">
        <v>12</v>
      </c>
    </row>
    <row r="12" spans="1:10">
      <c r="A12" s="72" t="s">
        <v>204</v>
      </c>
      <c r="B12" s="73">
        <v>0</v>
      </c>
      <c r="C12" s="73">
        <v>90.476780000000005</v>
      </c>
      <c r="D12" s="73">
        <v>1081.5138400000001</v>
      </c>
      <c r="E12" s="73">
        <v>1131.1301799999999</v>
      </c>
      <c r="F12" s="73">
        <v>0</v>
      </c>
      <c r="G12" s="78">
        <v>140.09312</v>
      </c>
      <c r="H12" s="247"/>
      <c r="I12" s="83">
        <f t="shared" si="0"/>
        <v>-140.09312</v>
      </c>
      <c r="J12" s="2" t="s">
        <v>38</v>
      </c>
    </row>
    <row r="13" spans="1:10">
      <c r="A13" s="72" t="s">
        <v>207</v>
      </c>
      <c r="B13" s="73">
        <v>0</v>
      </c>
      <c r="C13" s="73">
        <v>85.128950000000003</v>
      </c>
      <c r="D13" s="73">
        <v>924.61086</v>
      </c>
      <c r="E13" s="73">
        <v>963.29845</v>
      </c>
      <c r="F13" s="73">
        <v>0</v>
      </c>
      <c r="G13" s="78">
        <v>123.81653999999999</v>
      </c>
      <c r="H13" s="247"/>
      <c r="I13" s="83">
        <f t="shared" si="0"/>
        <v>-123.81653999999999</v>
      </c>
      <c r="J13" s="2" t="s">
        <v>38</v>
      </c>
    </row>
    <row r="14" spans="1:10">
      <c r="A14" s="72" t="s">
        <v>421</v>
      </c>
      <c r="B14" s="73">
        <v>0</v>
      </c>
      <c r="C14" s="73">
        <v>17.085999999999999</v>
      </c>
      <c r="D14" s="73">
        <v>148.65600000000001</v>
      </c>
      <c r="E14" s="73">
        <v>143.52000000000001</v>
      </c>
      <c r="F14" s="73">
        <v>0</v>
      </c>
      <c r="G14" s="78">
        <v>11.95</v>
      </c>
      <c r="H14" s="247"/>
      <c r="I14" s="83">
        <f t="shared" si="0"/>
        <v>-11.95</v>
      </c>
      <c r="J14" s="2" t="s">
        <v>38</v>
      </c>
    </row>
    <row r="15" spans="1:10">
      <c r="A15" s="72" t="s">
        <v>423</v>
      </c>
      <c r="B15" s="73">
        <v>0</v>
      </c>
      <c r="C15" s="73">
        <v>3.7970000000000002</v>
      </c>
      <c r="D15" s="73">
        <v>67.156000000000006</v>
      </c>
      <c r="E15" s="73">
        <v>68.453999999999994</v>
      </c>
      <c r="F15" s="73">
        <v>0</v>
      </c>
      <c r="G15" s="78">
        <v>5.0949999999999998</v>
      </c>
      <c r="H15" s="247"/>
      <c r="I15" s="83">
        <f t="shared" si="0"/>
        <v>-5.0949999999999998</v>
      </c>
      <c r="J15" s="2" t="s">
        <v>38</v>
      </c>
    </row>
    <row r="16" spans="1:10">
      <c r="A16" s="72" t="s">
        <v>216</v>
      </c>
      <c r="B16" s="73">
        <v>0</v>
      </c>
      <c r="C16" s="73">
        <v>37.969639999999998</v>
      </c>
      <c r="D16" s="73">
        <v>455.63603999999998</v>
      </c>
      <c r="E16" s="73">
        <v>455.63565999999997</v>
      </c>
      <c r="F16" s="73">
        <v>0</v>
      </c>
      <c r="G16" s="78">
        <v>37.969260000000006</v>
      </c>
      <c r="H16" s="247"/>
      <c r="I16" s="83">
        <f t="shared" si="0"/>
        <v>-37.969260000000006</v>
      </c>
      <c r="J16" s="2" t="s">
        <v>38</v>
      </c>
    </row>
    <row r="17" spans="1:10">
      <c r="A17" s="72" t="s">
        <v>222</v>
      </c>
      <c r="B17" s="73">
        <v>0</v>
      </c>
      <c r="C17" s="73">
        <v>88.536320000000003</v>
      </c>
      <c r="D17" s="73">
        <v>720.01768000000004</v>
      </c>
      <c r="E17" s="73">
        <v>631.48136</v>
      </c>
      <c r="F17" s="73">
        <v>0</v>
      </c>
      <c r="G17" s="78">
        <v>0</v>
      </c>
      <c r="H17" s="247"/>
      <c r="I17" s="83">
        <f t="shared" si="0"/>
        <v>0</v>
      </c>
      <c r="J17" s="2" t="s">
        <v>38</v>
      </c>
    </row>
    <row r="18" spans="1:10">
      <c r="A18" s="72" t="s">
        <v>448</v>
      </c>
      <c r="B18" s="73">
        <v>0</v>
      </c>
      <c r="C18" s="73">
        <v>19456.86852</v>
      </c>
      <c r="D18" s="73">
        <v>0</v>
      </c>
      <c r="E18" s="73">
        <v>13778.733829999999</v>
      </c>
      <c r="F18" s="73">
        <v>0</v>
      </c>
      <c r="G18" s="78">
        <v>33235.602350000001</v>
      </c>
      <c r="H18" s="247"/>
      <c r="I18" s="83">
        <f t="shared" si="0"/>
        <v>-33235.602350000001</v>
      </c>
      <c r="J18" s="2" t="s">
        <v>38</v>
      </c>
    </row>
    <row r="19" spans="1:10">
      <c r="A19" s="72" t="s">
        <v>226</v>
      </c>
      <c r="B19" s="73">
        <v>0</v>
      </c>
      <c r="C19" s="73">
        <v>0</v>
      </c>
      <c r="D19" s="73">
        <v>11906.35684</v>
      </c>
      <c r="E19" s="73">
        <v>12356.35684</v>
      </c>
      <c r="F19" s="73">
        <v>0</v>
      </c>
      <c r="G19" s="78">
        <v>450</v>
      </c>
      <c r="H19" s="247"/>
      <c r="I19" s="83">
        <f t="shared" si="0"/>
        <v>-450</v>
      </c>
      <c r="J19" s="2" t="s">
        <v>38</v>
      </c>
    </row>
    <row r="20" spans="1:10">
      <c r="A20" s="72" t="s">
        <v>429</v>
      </c>
      <c r="B20" s="73">
        <v>0</v>
      </c>
      <c r="C20" s="73">
        <v>4.2</v>
      </c>
      <c r="D20" s="73">
        <v>4.2</v>
      </c>
      <c r="E20" s="73">
        <v>0</v>
      </c>
      <c r="F20" s="73">
        <v>0</v>
      </c>
      <c r="G20" s="78">
        <v>0</v>
      </c>
      <c r="H20" s="247"/>
      <c r="I20" s="83">
        <f t="shared" si="0"/>
        <v>0</v>
      </c>
      <c r="J20" s="2" t="s">
        <v>38</v>
      </c>
    </row>
    <row r="21" spans="1:10">
      <c r="A21" s="72" t="s">
        <v>436</v>
      </c>
      <c r="B21" s="73">
        <v>0</v>
      </c>
      <c r="C21" s="74">
        <v>-14089.624750000001</v>
      </c>
      <c r="D21" s="73">
        <v>0</v>
      </c>
      <c r="E21" s="74">
        <v>-18708.115300000001</v>
      </c>
      <c r="F21" s="73">
        <v>0</v>
      </c>
      <c r="G21" s="79">
        <v>-32797.74005</v>
      </c>
      <c r="H21" s="394">
        <f>B21-C21</f>
        <v>14089.624750000001</v>
      </c>
      <c r="I21" s="83">
        <f t="shared" si="0"/>
        <v>32797.74005</v>
      </c>
      <c r="J21" s="2" t="s">
        <v>29</v>
      </c>
    </row>
    <row r="22" spans="1:10">
      <c r="A22" s="72" t="s">
        <v>288</v>
      </c>
      <c r="B22" s="73">
        <v>0</v>
      </c>
      <c r="C22" s="73">
        <v>0</v>
      </c>
      <c r="D22" s="73">
        <v>18708.115300000001</v>
      </c>
      <c r="E22" s="73">
        <v>18708.115300000001</v>
      </c>
      <c r="F22" s="73">
        <v>0</v>
      </c>
      <c r="G22" s="78">
        <v>0</v>
      </c>
      <c r="H22" s="247"/>
      <c r="I22" s="83"/>
    </row>
    <row r="23" spans="1:10">
      <c r="A23" s="75" t="s">
        <v>338</v>
      </c>
      <c r="B23" s="76">
        <v>5694.4384600000003</v>
      </c>
      <c r="C23" s="76">
        <v>5694.4384600000003</v>
      </c>
      <c r="D23" s="76">
        <v>48354.824390000002</v>
      </c>
      <c r="E23" s="76">
        <v>48354.824390000002</v>
      </c>
      <c r="F23" s="76">
        <v>1206.78622</v>
      </c>
      <c r="G23" s="80">
        <v>1206.78622</v>
      </c>
      <c r="H23" s="395"/>
      <c r="I23" s="83"/>
    </row>
    <row r="27" spans="1:10">
      <c r="A27" s="342" t="s">
        <v>342</v>
      </c>
      <c r="B27" s="343" t="s">
        <v>343</v>
      </c>
      <c r="C27" s="343" t="s">
        <v>54</v>
      </c>
      <c r="D27" s="343" t="s">
        <v>55</v>
      </c>
    </row>
    <row r="28" spans="1:10" ht="24">
      <c r="A28" s="344">
        <v>5610</v>
      </c>
      <c r="B28" s="345" t="s">
        <v>344</v>
      </c>
      <c r="C28" s="349">
        <v>0</v>
      </c>
      <c r="D28" s="349">
        <v>0</v>
      </c>
    </row>
    <row r="29" spans="1:10">
      <c r="A29" s="346"/>
      <c r="B29" s="347">
        <v>5500</v>
      </c>
      <c r="C29" s="350">
        <v>-18708.115300000001</v>
      </c>
      <c r="D29" s="351">
        <v>0</v>
      </c>
    </row>
    <row r="30" spans="1:10">
      <c r="A30" s="346"/>
      <c r="B30" s="347">
        <v>7200</v>
      </c>
      <c r="C30" s="351">
        <v>18708.115300000001</v>
      </c>
      <c r="D30" s="351">
        <v>0</v>
      </c>
    </row>
    <row r="31" spans="1:10">
      <c r="A31" s="348"/>
      <c r="B31" s="345" t="s">
        <v>345</v>
      </c>
      <c r="C31" s="349">
        <v>0</v>
      </c>
      <c r="D31" s="349">
        <v>0</v>
      </c>
    </row>
    <row r="32" spans="1:10" ht="24">
      <c r="A32" s="348"/>
      <c r="B32" s="345" t="s">
        <v>346</v>
      </c>
      <c r="C32" s="349">
        <v>0</v>
      </c>
      <c r="D32" s="349">
        <v>0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selection activeCell="B6" sqref="B6:B25"/>
    </sheetView>
  </sheetViews>
  <sheetFormatPr defaultColWidth="8.7109375" defaultRowHeight="12.75"/>
  <cols>
    <col min="1" max="2" width="8.7109375" style="2"/>
    <col min="3" max="8" width="10" style="2" bestFit="1" customWidth="1"/>
    <col min="9" max="9" width="14.140625" style="2" customWidth="1"/>
    <col min="10" max="10" width="11.85546875" style="2" customWidth="1"/>
    <col min="11" max="16384" width="8.7109375" style="2"/>
  </cols>
  <sheetData>
    <row r="1" spans="1:11">
      <c r="A1" s="97" t="s">
        <v>460</v>
      </c>
      <c r="B1" s="98"/>
      <c r="C1" s="98"/>
      <c r="D1" s="98"/>
      <c r="E1" s="98"/>
      <c r="F1" s="98"/>
      <c r="G1" s="98"/>
      <c r="H1" s="98"/>
    </row>
    <row r="2" spans="1:11">
      <c r="A2" s="95" t="s">
        <v>461</v>
      </c>
      <c r="B2" s="99"/>
      <c r="C2" s="99"/>
      <c r="D2" s="99"/>
      <c r="E2" s="99"/>
      <c r="F2" s="99"/>
      <c r="G2" s="99"/>
      <c r="H2" s="99"/>
    </row>
    <row r="3" spans="1:11" ht="13.5" thickBot="1">
      <c r="A3" s="96" t="s">
        <v>462</v>
      </c>
      <c r="B3" s="100"/>
      <c r="C3" s="100"/>
      <c r="D3" s="100"/>
      <c r="E3" s="100"/>
      <c r="F3" s="100"/>
      <c r="G3" s="100"/>
      <c r="H3" s="100"/>
    </row>
    <row r="4" spans="1:11">
      <c r="A4" s="101" t="s">
        <v>342</v>
      </c>
      <c r="B4" s="102"/>
      <c r="C4" s="103" t="s">
        <v>51</v>
      </c>
      <c r="D4" s="102"/>
      <c r="E4" s="103" t="s">
        <v>52</v>
      </c>
      <c r="F4" s="102"/>
      <c r="G4" s="103" t="s">
        <v>53</v>
      </c>
      <c r="H4" s="104"/>
    </row>
    <row r="5" spans="1:11" ht="13.5" thickBot="1">
      <c r="A5" s="105" t="s">
        <v>463</v>
      </c>
      <c r="B5" s="106" t="s">
        <v>464</v>
      </c>
      <c r="C5" s="107" t="s">
        <v>54</v>
      </c>
      <c r="D5" s="107" t="s">
        <v>55</v>
      </c>
      <c r="E5" s="107" t="s">
        <v>54</v>
      </c>
      <c r="F5" s="107" t="s">
        <v>55</v>
      </c>
      <c r="G5" s="107" t="s">
        <v>54</v>
      </c>
      <c r="H5" s="108" t="s">
        <v>55</v>
      </c>
      <c r="I5" s="57">
        <v>43100</v>
      </c>
      <c r="J5" s="57">
        <v>43465</v>
      </c>
      <c r="K5" s="109" t="s">
        <v>606</v>
      </c>
    </row>
    <row r="6" spans="1:11">
      <c r="A6" s="110" t="s">
        <v>471</v>
      </c>
      <c r="B6" s="111" t="s">
        <v>472</v>
      </c>
      <c r="C6" s="112">
        <v>4.2000600000000006</v>
      </c>
      <c r="D6" s="112">
        <v>0</v>
      </c>
      <c r="E6" s="112">
        <v>359</v>
      </c>
      <c r="F6" s="112">
        <v>351.73933</v>
      </c>
      <c r="G6" s="112">
        <v>11.46073</v>
      </c>
      <c r="H6" s="112">
        <v>0</v>
      </c>
      <c r="I6" s="41">
        <f>C6-D6</f>
        <v>4.2000600000000006</v>
      </c>
      <c r="J6" s="119">
        <f>G6-H6</f>
        <v>11.46073</v>
      </c>
      <c r="K6" s="2" t="s">
        <v>24</v>
      </c>
    </row>
    <row r="7" spans="1:11">
      <c r="A7" s="110" t="s">
        <v>670</v>
      </c>
      <c r="B7" s="111" t="s">
        <v>671</v>
      </c>
      <c r="C7" s="112">
        <v>83000</v>
      </c>
      <c r="D7" s="112">
        <v>0</v>
      </c>
      <c r="E7" s="112">
        <v>0</v>
      </c>
      <c r="F7" s="112">
        <v>0</v>
      </c>
      <c r="G7" s="112">
        <v>83000</v>
      </c>
      <c r="H7" s="112">
        <v>0</v>
      </c>
      <c r="I7" s="41">
        <f t="shared" ref="I7:I25" si="0">C7-D7</f>
        <v>83000</v>
      </c>
      <c r="J7" s="119">
        <f t="shared" ref="J7:J23" si="1">G7-H7</f>
        <v>83000</v>
      </c>
      <c r="K7" s="2" t="s">
        <v>19</v>
      </c>
    </row>
    <row r="8" spans="1:11">
      <c r="A8" s="110" t="s">
        <v>495</v>
      </c>
      <c r="B8" s="111" t="s">
        <v>496</v>
      </c>
      <c r="C8" s="112">
        <v>50</v>
      </c>
      <c r="D8" s="112">
        <v>0</v>
      </c>
      <c r="E8" s="112">
        <v>0</v>
      </c>
      <c r="F8" s="112">
        <v>50</v>
      </c>
      <c r="G8" s="112">
        <v>0</v>
      </c>
      <c r="H8" s="112">
        <v>0</v>
      </c>
      <c r="I8" s="41">
        <f t="shared" si="0"/>
        <v>50</v>
      </c>
      <c r="J8" s="119">
        <f t="shared" si="1"/>
        <v>0</v>
      </c>
      <c r="K8" s="2" t="s">
        <v>19</v>
      </c>
    </row>
    <row r="9" spans="1:11">
      <c r="A9" s="110" t="s">
        <v>499</v>
      </c>
      <c r="B9" s="111" t="s">
        <v>7</v>
      </c>
      <c r="C9" s="112">
        <v>81809</v>
      </c>
      <c r="D9" s="112">
        <v>0</v>
      </c>
      <c r="E9" s="112">
        <v>0</v>
      </c>
      <c r="F9" s="112">
        <v>0</v>
      </c>
      <c r="G9" s="112">
        <v>81809</v>
      </c>
      <c r="H9" s="112">
        <v>0</v>
      </c>
      <c r="I9" s="41">
        <f t="shared" si="0"/>
        <v>81809</v>
      </c>
      <c r="J9" s="119">
        <f t="shared" si="1"/>
        <v>81809</v>
      </c>
      <c r="K9" s="2" t="s">
        <v>7</v>
      </c>
    </row>
    <row r="10" spans="1:11">
      <c r="A10" s="110" t="s">
        <v>521</v>
      </c>
      <c r="B10" s="111" t="s">
        <v>522</v>
      </c>
      <c r="C10" s="112">
        <v>0</v>
      </c>
      <c r="D10" s="112">
        <v>1.8</v>
      </c>
      <c r="E10" s="112">
        <v>47.922220000000003</v>
      </c>
      <c r="F10" s="112">
        <v>53.54374</v>
      </c>
      <c r="G10" s="112">
        <v>0</v>
      </c>
      <c r="H10" s="113">
        <v>7.4215200000000001</v>
      </c>
      <c r="I10" s="41">
        <f t="shared" si="0"/>
        <v>-1.8</v>
      </c>
      <c r="J10" s="119">
        <f t="shared" si="1"/>
        <v>-7.4215200000000001</v>
      </c>
      <c r="K10" s="2" t="s">
        <v>38</v>
      </c>
    </row>
    <row r="11" spans="1:11">
      <c r="A11" s="110" t="s">
        <v>524</v>
      </c>
      <c r="B11" s="111" t="s">
        <v>525</v>
      </c>
      <c r="C11" s="112">
        <v>0</v>
      </c>
      <c r="D11" s="112">
        <v>1.08</v>
      </c>
      <c r="E11" s="112">
        <v>28.75311</v>
      </c>
      <c r="F11" s="112">
        <v>32.028330000000004</v>
      </c>
      <c r="G11" s="112">
        <v>0</v>
      </c>
      <c r="H11" s="113">
        <v>4.3552200000000001</v>
      </c>
      <c r="I11" s="41">
        <f t="shared" si="0"/>
        <v>-1.08</v>
      </c>
      <c r="J11" s="119">
        <f t="shared" si="1"/>
        <v>-4.3552200000000001</v>
      </c>
      <c r="K11" s="2" t="s">
        <v>38</v>
      </c>
    </row>
    <row r="12" spans="1:11">
      <c r="A12" s="110" t="s">
        <v>526</v>
      </c>
      <c r="B12" s="111" t="s">
        <v>527</v>
      </c>
      <c r="C12" s="112">
        <v>0</v>
      </c>
      <c r="D12" s="112">
        <v>-28.64799</v>
      </c>
      <c r="E12" s="112">
        <v>55.84</v>
      </c>
      <c r="F12" s="112">
        <v>83.51</v>
      </c>
      <c r="G12" s="112">
        <v>0</v>
      </c>
      <c r="H12" s="113">
        <v>-0.97799000000000003</v>
      </c>
      <c r="I12" s="41">
        <f t="shared" si="0"/>
        <v>28.64799</v>
      </c>
      <c r="J12" s="119">
        <f t="shared" si="1"/>
        <v>0.97799000000000003</v>
      </c>
      <c r="K12" s="2" t="s">
        <v>38</v>
      </c>
    </row>
    <row r="13" spans="1:11">
      <c r="A13" s="110" t="s">
        <v>534</v>
      </c>
      <c r="B13" s="111" t="s">
        <v>535</v>
      </c>
      <c r="C13" s="112">
        <v>0</v>
      </c>
      <c r="D13" s="112">
        <v>0.3</v>
      </c>
      <c r="E13" s="112">
        <v>23.253</v>
      </c>
      <c r="F13" s="112">
        <v>23.151</v>
      </c>
      <c r="G13" s="112">
        <v>0</v>
      </c>
      <c r="H13" s="113">
        <v>0.19800000000000001</v>
      </c>
      <c r="I13" s="41">
        <f t="shared" si="0"/>
        <v>-0.3</v>
      </c>
      <c r="J13" s="119">
        <f t="shared" si="1"/>
        <v>-0.19800000000000001</v>
      </c>
      <c r="K13" s="2" t="s">
        <v>38</v>
      </c>
    </row>
    <row r="14" spans="1:11">
      <c r="A14" s="110" t="s">
        <v>536</v>
      </c>
      <c r="B14" s="111" t="s">
        <v>537</v>
      </c>
      <c r="C14" s="112">
        <v>0</v>
      </c>
      <c r="D14" s="112">
        <v>14</v>
      </c>
      <c r="E14" s="112">
        <v>71.247</v>
      </c>
      <c r="F14" s="112">
        <v>73.493820000000014</v>
      </c>
      <c r="G14" s="112">
        <v>0</v>
      </c>
      <c r="H14" s="113">
        <v>16.24682</v>
      </c>
      <c r="I14" s="41">
        <f t="shared" si="0"/>
        <v>-14</v>
      </c>
      <c r="J14" s="119">
        <f t="shared" si="1"/>
        <v>-16.24682</v>
      </c>
      <c r="K14" s="2" t="s">
        <v>38</v>
      </c>
    </row>
    <row r="15" spans="1:11">
      <c r="A15" s="110" t="s">
        <v>538</v>
      </c>
      <c r="B15" s="111" t="s">
        <v>672</v>
      </c>
      <c r="C15" s="112">
        <v>0</v>
      </c>
      <c r="D15" s="112">
        <v>0.6</v>
      </c>
      <c r="E15" s="112">
        <v>10.587</v>
      </c>
      <c r="F15" s="112">
        <v>11.224</v>
      </c>
      <c r="G15" s="112">
        <v>0</v>
      </c>
      <c r="H15" s="113">
        <v>1.2370000000000001</v>
      </c>
      <c r="I15" s="41">
        <f t="shared" si="0"/>
        <v>-0.6</v>
      </c>
      <c r="J15" s="119">
        <f t="shared" si="1"/>
        <v>-1.2370000000000001</v>
      </c>
      <c r="K15" s="2" t="s">
        <v>38</v>
      </c>
    </row>
    <row r="16" spans="1:11">
      <c r="A16" s="110" t="s">
        <v>542</v>
      </c>
      <c r="B16" s="111" t="s">
        <v>543</v>
      </c>
      <c r="C16" s="112">
        <v>0</v>
      </c>
      <c r="D16" s="112">
        <v>282049.12763999996</v>
      </c>
      <c r="E16" s="112">
        <v>50</v>
      </c>
      <c r="F16" s="112">
        <v>50</v>
      </c>
      <c r="G16" s="112">
        <v>0</v>
      </c>
      <c r="H16" s="113">
        <v>282049.12763999996</v>
      </c>
      <c r="I16" s="41">
        <f t="shared" si="0"/>
        <v>-282049.12763999996</v>
      </c>
      <c r="J16" s="119">
        <f t="shared" si="1"/>
        <v>-282049.12763999996</v>
      </c>
      <c r="K16" s="2" t="s">
        <v>38</v>
      </c>
    </row>
    <row r="17" spans="1:11">
      <c r="A17" s="110" t="s">
        <v>544</v>
      </c>
      <c r="B17" s="111" t="s">
        <v>545</v>
      </c>
      <c r="C17" s="112">
        <v>0</v>
      </c>
      <c r="D17" s="112">
        <v>20639.729199999998</v>
      </c>
      <c r="E17" s="112">
        <v>0</v>
      </c>
      <c r="F17" s="112">
        <v>854.44799999999998</v>
      </c>
      <c r="G17" s="112">
        <v>0</v>
      </c>
      <c r="H17" s="113">
        <v>21494.177199999998</v>
      </c>
      <c r="I17" s="41">
        <f t="shared" si="0"/>
        <v>-20639.729199999998</v>
      </c>
      <c r="J17" s="119">
        <f t="shared" si="1"/>
        <v>-21494.177199999998</v>
      </c>
      <c r="K17" s="2" t="s">
        <v>38</v>
      </c>
    </row>
    <row r="18" spans="1:11">
      <c r="A18" s="110" t="s">
        <v>548</v>
      </c>
      <c r="B18" s="111" t="s">
        <v>549</v>
      </c>
      <c r="C18" s="112">
        <v>0</v>
      </c>
      <c r="D18" s="112">
        <v>54</v>
      </c>
      <c r="E18" s="112">
        <v>697.83825999999999</v>
      </c>
      <c r="F18" s="112">
        <v>734.93828000000008</v>
      </c>
      <c r="G18" s="112">
        <v>0</v>
      </c>
      <c r="H18" s="113">
        <v>91.100020000000001</v>
      </c>
      <c r="I18" s="41">
        <f t="shared" si="0"/>
        <v>-54</v>
      </c>
      <c r="J18" s="119">
        <f t="shared" si="1"/>
        <v>-91.100020000000001</v>
      </c>
      <c r="K18" s="2" t="s">
        <v>38</v>
      </c>
    </row>
    <row r="19" spans="1:11">
      <c r="A19" s="110" t="s">
        <v>604</v>
      </c>
      <c r="B19" s="111" t="s">
        <v>673</v>
      </c>
      <c r="C19" s="112">
        <v>0</v>
      </c>
      <c r="D19" s="112">
        <v>1.8520000000000001</v>
      </c>
      <c r="E19" s="112">
        <v>0</v>
      </c>
      <c r="F19" s="112">
        <v>0</v>
      </c>
      <c r="G19" s="112">
        <v>0</v>
      </c>
      <c r="H19" s="113">
        <v>1.8520000000000001</v>
      </c>
      <c r="I19" s="41">
        <f t="shared" si="0"/>
        <v>-1.8520000000000001</v>
      </c>
      <c r="J19" s="119">
        <f t="shared" si="1"/>
        <v>-1.8520000000000001</v>
      </c>
      <c r="K19" s="2" t="s">
        <v>38</v>
      </c>
    </row>
    <row r="20" spans="1:11">
      <c r="A20" s="110" t="s">
        <v>605</v>
      </c>
      <c r="B20" s="111" t="s">
        <v>550</v>
      </c>
      <c r="C20" s="112">
        <v>0</v>
      </c>
      <c r="D20" s="112">
        <v>0</v>
      </c>
      <c r="E20" s="112">
        <v>0</v>
      </c>
      <c r="F20" s="112">
        <v>9</v>
      </c>
      <c r="G20" s="112">
        <v>0</v>
      </c>
      <c r="H20" s="112">
        <v>0</v>
      </c>
      <c r="I20" s="41">
        <f t="shared" si="0"/>
        <v>0</v>
      </c>
      <c r="J20" s="119">
        <f t="shared" si="1"/>
        <v>0</v>
      </c>
      <c r="K20" s="2" t="s">
        <v>38</v>
      </c>
    </row>
    <row r="21" spans="1:11">
      <c r="A21" s="110" t="s">
        <v>674</v>
      </c>
      <c r="B21" s="111" t="s">
        <v>628</v>
      </c>
      <c r="C21" s="112">
        <v>0</v>
      </c>
      <c r="D21" s="112">
        <v>500</v>
      </c>
      <c r="E21" s="112">
        <v>0</v>
      </c>
      <c r="F21" s="112">
        <v>0</v>
      </c>
      <c r="G21" s="112">
        <v>0</v>
      </c>
      <c r="H21" s="113">
        <v>500</v>
      </c>
      <c r="I21" s="41">
        <f t="shared" si="0"/>
        <v>-500</v>
      </c>
      <c r="J21" s="119">
        <f t="shared" si="1"/>
        <v>-500</v>
      </c>
      <c r="K21" s="2" t="s">
        <v>28</v>
      </c>
    </row>
    <row r="22" spans="1:11">
      <c r="A22" s="110" t="s">
        <v>563</v>
      </c>
      <c r="B22" s="111" t="s">
        <v>564</v>
      </c>
      <c r="C22" s="112">
        <v>0</v>
      </c>
      <c r="D22" s="112">
        <v>-201067.6422</v>
      </c>
      <c r="E22" s="112">
        <v>-201067.6422</v>
      </c>
      <c r="F22" s="112">
        <v>-973.63591000000008</v>
      </c>
      <c r="G22" s="112">
        <v>0</v>
      </c>
      <c r="H22" s="113">
        <v>-973.63591000000008</v>
      </c>
      <c r="I22" s="41">
        <f t="shared" si="0"/>
        <v>201067.6422</v>
      </c>
      <c r="J22" s="119">
        <f t="shared" si="1"/>
        <v>973.63591000000008</v>
      </c>
      <c r="K22" s="2" t="s">
        <v>29</v>
      </c>
    </row>
    <row r="23" spans="1:11">
      <c r="A23" s="110" t="s">
        <v>565</v>
      </c>
      <c r="B23" s="111" t="s">
        <v>566</v>
      </c>
      <c r="C23" s="112">
        <v>0</v>
      </c>
      <c r="D23" s="112">
        <v>62697.001420000001</v>
      </c>
      <c r="E23" s="112" t="s">
        <v>461</v>
      </c>
      <c r="F23" s="112">
        <v>-201067.6422</v>
      </c>
      <c r="G23" s="112">
        <v>0</v>
      </c>
      <c r="H23" s="113">
        <v>-138370.64077999999</v>
      </c>
      <c r="I23" s="41">
        <f t="shared" si="0"/>
        <v>-62697.001420000001</v>
      </c>
      <c r="J23" s="119">
        <f t="shared" si="1"/>
        <v>138370.64077999999</v>
      </c>
      <c r="K23" s="2" t="s">
        <v>29</v>
      </c>
    </row>
    <row r="24" spans="1:11">
      <c r="A24" s="110" t="s">
        <v>577</v>
      </c>
      <c r="B24" s="111" t="s">
        <v>578</v>
      </c>
      <c r="C24" s="112">
        <v>0</v>
      </c>
      <c r="D24" s="112">
        <v>0</v>
      </c>
      <c r="E24" s="112">
        <v>993.79449999999997</v>
      </c>
      <c r="F24" s="112">
        <v>993.79449999999997</v>
      </c>
      <c r="G24" s="112">
        <v>0</v>
      </c>
      <c r="H24" s="112">
        <v>0</v>
      </c>
      <c r="I24" s="41">
        <f t="shared" si="0"/>
        <v>0</v>
      </c>
      <c r="J24" s="119"/>
    </row>
    <row r="25" spans="1:11" ht="13.5" thickBot="1">
      <c r="A25" s="110" t="s">
        <v>579</v>
      </c>
      <c r="B25" s="111" t="s">
        <v>580</v>
      </c>
      <c r="C25" s="112">
        <v>0</v>
      </c>
      <c r="D25" s="112">
        <v>0</v>
      </c>
      <c r="E25" s="112">
        <v>-20.15859</v>
      </c>
      <c r="F25" s="112">
        <v>-20.15859</v>
      </c>
      <c r="G25" s="112">
        <v>0</v>
      </c>
      <c r="H25" s="112">
        <v>0</v>
      </c>
      <c r="I25" s="41">
        <f t="shared" si="0"/>
        <v>0</v>
      </c>
      <c r="J25" s="119"/>
    </row>
    <row r="26" spans="1:11" ht="13.5" thickBot="1">
      <c r="A26" s="115"/>
      <c r="B26" s="116"/>
      <c r="C26" s="117">
        <v>164863.20006</v>
      </c>
      <c r="D26" s="117">
        <v>164863.20006999999</v>
      </c>
      <c r="E26" s="117">
        <v>-198740.56569999998</v>
      </c>
      <c r="F26" s="117">
        <v>-198740.56569999998</v>
      </c>
      <c r="G26" s="117">
        <v>164820.46072999999</v>
      </c>
      <c r="H26" s="118">
        <v>164820.46074000001</v>
      </c>
      <c r="I26" s="41"/>
    </row>
    <row r="29" spans="1:11" ht="15.75">
      <c r="A29" s="306" t="s">
        <v>2101</v>
      </c>
      <c r="B29" s="307"/>
      <c r="C29" s="307"/>
      <c r="D29" s="307"/>
      <c r="E29" s="307"/>
    </row>
    <row r="30" spans="1:11" ht="16.5" thickBot="1">
      <c r="A30" s="308" t="s">
        <v>462</v>
      </c>
      <c r="B30" s="309"/>
      <c r="C30" s="310"/>
      <c r="D30" s="310"/>
      <c r="E30" s="310"/>
    </row>
    <row r="31" spans="1:11" ht="15">
      <c r="A31" s="312" t="s">
        <v>342</v>
      </c>
      <c r="B31" s="313" t="s">
        <v>2102</v>
      </c>
      <c r="C31" s="314" t="s">
        <v>2103</v>
      </c>
      <c r="D31" s="313" t="s">
        <v>2102</v>
      </c>
      <c r="E31" s="315" t="s">
        <v>2103</v>
      </c>
    </row>
    <row r="32" spans="1:11" ht="15.75" thickBot="1">
      <c r="A32" s="316"/>
      <c r="B32" s="317"/>
      <c r="C32" s="318"/>
      <c r="D32" s="319" t="s">
        <v>2104</v>
      </c>
      <c r="E32" s="320" t="s">
        <v>2104</v>
      </c>
    </row>
    <row r="33" spans="1:5" ht="15">
      <c r="A33" s="321" t="s">
        <v>51</v>
      </c>
      <c r="B33" s="322" t="s">
        <v>461</v>
      </c>
      <c r="C33" s="323" t="s">
        <v>461</v>
      </c>
      <c r="D33" s="322" t="s">
        <v>461</v>
      </c>
      <c r="E33" s="324" t="s">
        <v>461</v>
      </c>
    </row>
    <row r="34" spans="1:5" ht="15">
      <c r="A34" s="325" t="s">
        <v>563</v>
      </c>
      <c r="B34" s="361">
        <v>-973.63591000000008</v>
      </c>
      <c r="C34" s="327" t="s">
        <v>461</v>
      </c>
      <c r="D34" s="328" t="s">
        <v>461</v>
      </c>
      <c r="E34" s="329" t="s">
        <v>461</v>
      </c>
    </row>
    <row r="35" spans="1:5" ht="15">
      <c r="A35" s="325" t="s">
        <v>575</v>
      </c>
      <c r="B35" s="361">
        <v>973.63591000000008</v>
      </c>
      <c r="C35" s="327" t="s">
        <v>461</v>
      </c>
      <c r="D35" s="328" t="s">
        <v>461</v>
      </c>
      <c r="E35" s="329" t="s">
        <v>461</v>
      </c>
    </row>
    <row r="36" spans="1:5" ht="15">
      <c r="A36" s="325" t="s">
        <v>577</v>
      </c>
      <c r="B36" s="361">
        <v>993.79449999999997</v>
      </c>
      <c r="C36" s="327" t="s">
        <v>461</v>
      </c>
      <c r="D36" s="328" t="s">
        <v>461</v>
      </c>
      <c r="E36" s="329" t="s">
        <v>461</v>
      </c>
    </row>
    <row r="37" spans="1:5" ht="15">
      <c r="A37" s="325" t="s">
        <v>579</v>
      </c>
      <c r="B37" s="361">
        <v>-20.15859</v>
      </c>
      <c r="C37" s="327" t="s">
        <v>461</v>
      </c>
      <c r="D37" s="328" t="s">
        <v>461</v>
      </c>
      <c r="E37" s="329" t="s">
        <v>461</v>
      </c>
    </row>
    <row r="38" spans="1:5" ht="15">
      <c r="A38" s="332" t="s">
        <v>52</v>
      </c>
      <c r="B38" s="335" t="s">
        <v>461</v>
      </c>
      <c r="C38" s="362" t="s">
        <v>461</v>
      </c>
      <c r="D38" s="335" t="s">
        <v>461</v>
      </c>
      <c r="E38" s="336" t="s">
        <v>461</v>
      </c>
    </row>
    <row r="39" spans="1:5" ht="15.75" thickBot="1">
      <c r="A39" s="337" t="s">
        <v>53</v>
      </c>
      <c r="B39" s="338" t="s">
        <v>461</v>
      </c>
      <c r="C39" s="339" t="s">
        <v>461</v>
      </c>
      <c r="D39" s="338" t="s">
        <v>461</v>
      </c>
      <c r="E39" s="340" t="s">
        <v>461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4"/>
  <sheetViews>
    <sheetView zoomScale="80" zoomScaleNormal="80" workbookViewId="0">
      <selection activeCell="C13" sqref="C13"/>
    </sheetView>
  </sheetViews>
  <sheetFormatPr defaultRowHeight="15"/>
  <cols>
    <col min="1" max="1" width="13.42578125" customWidth="1"/>
    <col min="2" max="2" width="15.85546875" customWidth="1"/>
    <col min="3" max="3" width="14.5703125" customWidth="1"/>
    <col min="4" max="4" width="12.7109375" bestFit="1" customWidth="1"/>
    <col min="5" max="6" width="11.7109375" bestFit="1" customWidth="1"/>
    <col min="7" max="7" width="8.85546875" bestFit="1" customWidth="1"/>
    <col min="10" max="10" width="10.140625" bestFit="1" customWidth="1"/>
    <col min="11" max="11" width="8.85546875" bestFit="1" customWidth="1"/>
    <col min="12" max="13" width="12.7109375" bestFit="1" customWidth="1"/>
    <col min="14" max="14" width="10.140625" bestFit="1" customWidth="1"/>
    <col min="15" max="15" width="8.85546875" bestFit="1" customWidth="1"/>
    <col min="18" max="19" width="8.85546875" bestFit="1" customWidth="1"/>
    <col min="20" max="21" width="9.140625" bestFit="1" customWidth="1"/>
    <col min="22" max="23" width="8.85546875" bestFit="1" customWidth="1"/>
  </cols>
  <sheetData>
    <row r="2" spans="1:6">
      <c r="A2" s="124" t="s">
        <v>721</v>
      </c>
    </row>
    <row r="3" spans="1:6" ht="25.5">
      <c r="A3" s="59" t="s">
        <v>394</v>
      </c>
      <c r="B3" s="2"/>
      <c r="C3" s="178" t="s">
        <v>395</v>
      </c>
    </row>
    <row r="4" spans="1:6">
      <c r="A4" t="s">
        <v>139</v>
      </c>
      <c r="B4" s="5">
        <v>-444280.47149999999</v>
      </c>
      <c r="C4" t="s">
        <v>176</v>
      </c>
      <c r="D4" s="5">
        <v>4000</v>
      </c>
    </row>
    <row r="5" spans="1:6">
      <c r="A5" t="s">
        <v>174</v>
      </c>
      <c r="B5" s="5">
        <v>1730876.0363599998</v>
      </c>
    </row>
    <row r="6" spans="1:6">
      <c r="A6" t="s">
        <v>175</v>
      </c>
      <c r="B6" s="5">
        <v>55826.798090000004</v>
      </c>
    </row>
    <row r="7" spans="1:6">
      <c r="A7" t="s">
        <v>177</v>
      </c>
      <c r="B7" s="5">
        <v>2330.9891600000001</v>
      </c>
    </row>
    <row r="8" spans="1:6" ht="15.75" thickBot="1">
      <c r="B8" s="180">
        <f>SUM(B4:B7)</f>
        <v>1344753.3521099999</v>
      </c>
    </row>
    <row r="9" spans="1:6" ht="15.75" thickTop="1"/>
    <row r="11" spans="1:6">
      <c r="A11" s="124" t="s">
        <v>730</v>
      </c>
    </row>
    <row r="12" spans="1:6" s="145" customFormat="1" ht="26.25">
      <c r="A12" s="181" t="s">
        <v>394</v>
      </c>
      <c r="C12" s="182" t="s">
        <v>395</v>
      </c>
      <c r="E12" s="183" t="s">
        <v>456</v>
      </c>
    </row>
    <row r="13" spans="1:6">
      <c r="A13" t="s">
        <v>83</v>
      </c>
      <c r="B13" s="5">
        <v>-298901.23114999995</v>
      </c>
      <c r="C13" t="s">
        <v>413</v>
      </c>
      <c r="D13" s="5">
        <v>1931439.4213699999</v>
      </c>
      <c r="E13" s="90" t="s">
        <v>125</v>
      </c>
      <c r="F13" s="5">
        <v>9895.0693800000008</v>
      </c>
    </row>
    <row r="14" spans="1:6">
      <c r="A14" t="s">
        <v>126</v>
      </c>
      <c r="B14" s="5">
        <v>487478.69994999998</v>
      </c>
      <c r="C14" t="s">
        <v>414</v>
      </c>
      <c r="D14" s="5">
        <v>11176.7109</v>
      </c>
    </row>
    <row r="15" spans="1:6" ht="15.75" thickBot="1">
      <c r="A15" t="s">
        <v>128</v>
      </c>
      <c r="B15" s="5">
        <v>56637.553460000003</v>
      </c>
      <c r="D15" s="180">
        <f>SUM(D13:D14)</f>
        <v>1942616.1322699999</v>
      </c>
    </row>
    <row r="16" spans="1:6" ht="15.75" thickTop="1">
      <c r="A16" t="s">
        <v>129</v>
      </c>
      <c r="B16" s="5">
        <v>81729.183099999995</v>
      </c>
    </row>
    <row r="17" spans="1:25" ht="15.75" thickBot="1">
      <c r="B17" s="180">
        <f>SUM(B13:B16)</f>
        <v>326944.20536000002</v>
      </c>
    </row>
    <row r="18" spans="1:25" ht="15.75" thickTop="1">
      <c r="B18" s="191"/>
    </row>
    <row r="19" spans="1:25">
      <c r="A19" s="182" t="s">
        <v>395</v>
      </c>
    </row>
    <row r="20" spans="1:25">
      <c r="A20" s="184" t="s">
        <v>342</v>
      </c>
      <c r="B20" s="959" t="s">
        <v>51</v>
      </c>
      <c r="C20" s="959"/>
      <c r="D20" s="959" t="s">
        <v>52</v>
      </c>
      <c r="E20" s="959"/>
      <c r="F20" s="959" t="s">
        <v>53</v>
      </c>
      <c r="G20" s="959"/>
      <c r="I20" s="192" t="s">
        <v>342</v>
      </c>
      <c r="J20" s="950" t="s">
        <v>51</v>
      </c>
      <c r="K20" s="950"/>
      <c r="L20" s="950" t="s">
        <v>52</v>
      </c>
      <c r="M20" s="950"/>
      <c r="N20" s="950" t="s">
        <v>53</v>
      </c>
      <c r="O20" s="950"/>
      <c r="P20" s="193"/>
      <c r="Q20" s="199" t="s">
        <v>450</v>
      </c>
      <c r="R20" s="193"/>
      <c r="S20" s="193"/>
      <c r="T20" s="193"/>
      <c r="U20" s="193"/>
      <c r="V20" s="193"/>
      <c r="W20" s="193"/>
    </row>
    <row r="21" spans="1:25" ht="15.75">
      <c r="A21" s="955" t="s">
        <v>700</v>
      </c>
      <c r="B21" s="957" t="s">
        <v>54</v>
      </c>
      <c r="C21" s="957" t="s">
        <v>55</v>
      </c>
      <c r="D21" s="957" t="s">
        <v>54</v>
      </c>
      <c r="E21" s="957" t="s">
        <v>55</v>
      </c>
      <c r="F21" s="957" t="s">
        <v>54</v>
      </c>
      <c r="G21" s="957" t="s">
        <v>55</v>
      </c>
      <c r="I21" s="951" t="s">
        <v>700</v>
      </c>
      <c r="J21" s="953" t="s">
        <v>54</v>
      </c>
      <c r="K21" s="953" t="s">
        <v>55</v>
      </c>
      <c r="L21" s="953" t="s">
        <v>54</v>
      </c>
      <c r="M21" s="953" t="s">
        <v>55</v>
      </c>
      <c r="N21" s="953" t="s">
        <v>54</v>
      </c>
      <c r="O21" s="953" t="s">
        <v>55</v>
      </c>
      <c r="P21" s="193"/>
      <c r="Q21" s="200" t="s">
        <v>1895</v>
      </c>
      <c r="R21" s="193"/>
      <c r="S21" s="193"/>
      <c r="T21" s="193"/>
      <c r="U21" s="193"/>
      <c r="V21" s="193"/>
      <c r="W21" s="193"/>
    </row>
    <row r="22" spans="1:25">
      <c r="A22" s="956"/>
      <c r="B22" s="958"/>
      <c r="C22" s="958"/>
      <c r="D22" s="958"/>
      <c r="E22" s="958"/>
      <c r="F22" s="958"/>
      <c r="G22" s="958"/>
      <c r="I22" s="952"/>
      <c r="J22" s="954"/>
      <c r="K22" s="954"/>
      <c r="L22" s="954"/>
      <c r="M22" s="954"/>
      <c r="N22" s="954"/>
      <c r="O22" s="954"/>
      <c r="P22" s="193"/>
      <c r="Q22" s="193" t="s">
        <v>48</v>
      </c>
      <c r="R22" s="193" t="s">
        <v>1896</v>
      </c>
      <c r="S22" s="193"/>
      <c r="T22" s="193"/>
      <c r="U22" s="193"/>
      <c r="V22" s="193"/>
      <c r="W22" s="193"/>
    </row>
    <row r="23" spans="1:25">
      <c r="A23" s="185">
        <v>1610</v>
      </c>
      <c r="B23" s="187">
        <v>273815.85269999999</v>
      </c>
      <c r="C23" s="187">
        <v>0</v>
      </c>
      <c r="D23" s="187">
        <v>10453196.10877</v>
      </c>
      <c r="E23" s="187">
        <v>8795572.5401000008</v>
      </c>
      <c r="F23" s="187">
        <v>1931439.4213699999</v>
      </c>
      <c r="G23" s="187">
        <v>0</v>
      </c>
      <c r="I23" s="194">
        <v>1711</v>
      </c>
      <c r="J23" s="195">
        <v>486380.25868000003</v>
      </c>
      <c r="K23" s="195">
        <v>0</v>
      </c>
      <c r="L23" s="195">
        <v>14885812.241369998</v>
      </c>
      <c r="M23" s="195">
        <v>14884713.800100001</v>
      </c>
      <c r="N23" s="195">
        <v>487478.69994999998</v>
      </c>
      <c r="O23" s="195">
        <v>0</v>
      </c>
      <c r="P23" s="193"/>
      <c r="Q23" s="198" t="s">
        <v>342</v>
      </c>
      <c r="R23" s="947" t="s">
        <v>51</v>
      </c>
      <c r="S23" s="947"/>
      <c r="T23" s="947" t="s">
        <v>52</v>
      </c>
      <c r="U23" s="947"/>
      <c r="V23" s="947" t="s">
        <v>53</v>
      </c>
      <c r="W23" s="947"/>
    </row>
    <row r="24" spans="1:25" s="7" customFormat="1">
      <c r="A24" s="189" t="s">
        <v>731</v>
      </c>
      <c r="B24" s="190">
        <v>130.80000000000001</v>
      </c>
      <c r="C24" s="190">
        <v>0</v>
      </c>
      <c r="D24" s="190">
        <v>0</v>
      </c>
      <c r="E24" s="190">
        <v>130.80000000000001</v>
      </c>
      <c r="F24" s="190">
        <v>0</v>
      </c>
      <c r="G24" s="190">
        <v>0</v>
      </c>
      <c r="I24" s="186" t="s">
        <v>1125</v>
      </c>
      <c r="J24" s="196">
        <v>-27167.072489999999</v>
      </c>
      <c r="K24" s="188">
        <v>0</v>
      </c>
      <c r="L24" s="188">
        <v>0</v>
      </c>
      <c r="M24" s="196">
        <v>-27167.072489999999</v>
      </c>
      <c r="N24" s="188">
        <v>0</v>
      </c>
      <c r="O24" s="188">
        <v>0</v>
      </c>
      <c r="P24" s="193"/>
      <c r="Q24" s="948" t="s">
        <v>700</v>
      </c>
      <c r="R24" s="948" t="s">
        <v>54</v>
      </c>
      <c r="S24" s="948" t="s">
        <v>55</v>
      </c>
      <c r="T24" s="948" t="s">
        <v>54</v>
      </c>
      <c r="U24" s="948" t="s">
        <v>55</v>
      </c>
      <c r="V24" s="948" t="s">
        <v>54</v>
      </c>
      <c r="W24" s="948" t="s">
        <v>55</v>
      </c>
    </row>
    <row r="25" spans="1:25" s="7" customFormat="1">
      <c r="A25" s="189" t="s">
        <v>732</v>
      </c>
      <c r="B25" s="190">
        <v>0</v>
      </c>
      <c r="C25" s="190">
        <v>0</v>
      </c>
      <c r="D25" s="190">
        <v>750</v>
      </c>
      <c r="E25" s="190">
        <v>750</v>
      </c>
      <c r="F25" s="190">
        <v>0</v>
      </c>
      <c r="G25" s="190">
        <v>0</v>
      </c>
      <c r="I25" s="186" t="s">
        <v>1126</v>
      </c>
      <c r="J25" s="188">
        <v>0</v>
      </c>
      <c r="K25" s="188">
        <v>0</v>
      </c>
      <c r="L25" s="188">
        <v>237.6</v>
      </c>
      <c r="M25" s="188">
        <v>205.8</v>
      </c>
      <c r="N25" s="188">
        <v>31.8</v>
      </c>
      <c r="O25" s="188">
        <v>0</v>
      </c>
      <c r="P25" s="193"/>
      <c r="Q25" s="949"/>
      <c r="R25" s="949"/>
      <c r="S25" s="949"/>
      <c r="T25" s="949"/>
      <c r="U25" s="949"/>
      <c r="V25" s="949"/>
      <c r="W25" s="949"/>
    </row>
    <row r="26" spans="1:25" s="7" customFormat="1">
      <c r="A26" s="189" t="s">
        <v>733</v>
      </c>
      <c r="B26" s="190">
        <v>0</v>
      </c>
      <c r="C26" s="190">
        <v>0</v>
      </c>
      <c r="D26" s="190">
        <v>45.5</v>
      </c>
      <c r="E26" s="190">
        <v>45.5</v>
      </c>
      <c r="F26" s="190">
        <v>0</v>
      </c>
      <c r="G26" s="190">
        <v>0</v>
      </c>
      <c r="I26" s="186" t="s">
        <v>1127</v>
      </c>
      <c r="J26" s="188">
        <v>0</v>
      </c>
      <c r="K26" s="188">
        <v>0</v>
      </c>
      <c r="L26" s="188">
        <v>240</v>
      </c>
      <c r="M26" s="188">
        <v>240</v>
      </c>
      <c r="N26" s="188">
        <v>0</v>
      </c>
      <c r="O26" s="188">
        <v>0</v>
      </c>
      <c r="P26" s="193"/>
      <c r="Q26" s="201" t="s">
        <v>1897</v>
      </c>
      <c r="R26" s="204">
        <v>0</v>
      </c>
      <c r="S26" s="204">
        <v>0</v>
      </c>
      <c r="T26" s="204">
        <v>234077.54968999999</v>
      </c>
      <c r="U26" s="204">
        <v>224182.48031000001</v>
      </c>
      <c r="V26" s="204">
        <v>9895.0693800000008</v>
      </c>
      <c r="W26" s="204">
        <v>0</v>
      </c>
      <c r="Y26" s="203"/>
    </row>
    <row r="27" spans="1:25" s="7" customFormat="1">
      <c r="A27" s="189" t="s">
        <v>734</v>
      </c>
      <c r="B27" s="190">
        <v>0</v>
      </c>
      <c r="C27" s="190">
        <v>0</v>
      </c>
      <c r="D27" s="190">
        <v>370.5</v>
      </c>
      <c r="E27" s="190">
        <v>370.5</v>
      </c>
      <c r="F27" s="190">
        <v>0</v>
      </c>
      <c r="G27" s="190">
        <v>0</v>
      </c>
      <c r="I27" s="186" t="s">
        <v>1128</v>
      </c>
      <c r="J27" s="188">
        <v>0</v>
      </c>
      <c r="K27" s="188">
        <v>0</v>
      </c>
      <c r="L27" s="188">
        <v>7544.9950199999994</v>
      </c>
      <c r="M27" s="188">
        <v>7488.0350199999993</v>
      </c>
      <c r="N27" s="188">
        <v>56.96</v>
      </c>
      <c r="O27" s="188">
        <v>0</v>
      </c>
      <c r="P27" s="193"/>
      <c r="Q27" s="202" t="s">
        <v>1898</v>
      </c>
      <c r="R27" s="205">
        <v>0</v>
      </c>
      <c r="S27" s="205">
        <v>0</v>
      </c>
      <c r="T27" s="205">
        <v>46.18</v>
      </c>
      <c r="U27" s="205">
        <v>46.18</v>
      </c>
      <c r="V27" s="205">
        <v>0</v>
      </c>
      <c r="W27" s="205">
        <v>0</v>
      </c>
    </row>
    <row r="28" spans="1:25" s="7" customFormat="1">
      <c r="A28" s="189" t="s">
        <v>735</v>
      </c>
      <c r="B28" s="190">
        <v>0</v>
      </c>
      <c r="C28" s="190">
        <v>0</v>
      </c>
      <c r="D28" s="190">
        <v>248</v>
      </c>
      <c r="E28" s="190">
        <v>248</v>
      </c>
      <c r="F28" s="190">
        <v>0</v>
      </c>
      <c r="G28" s="190">
        <v>0</v>
      </c>
      <c r="I28" s="186" t="s">
        <v>1129</v>
      </c>
      <c r="J28" s="188">
        <v>0</v>
      </c>
      <c r="K28" s="188">
        <v>0</v>
      </c>
      <c r="L28" s="188">
        <v>1356041.54608</v>
      </c>
      <c r="M28" s="188">
        <v>1356041.54608</v>
      </c>
      <c r="N28" s="188">
        <v>0</v>
      </c>
      <c r="O28" s="188">
        <v>0</v>
      </c>
      <c r="P28" s="193"/>
      <c r="Q28" s="202" t="s">
        <v>1899</v>
      </c>
      <c r="R28" s="205">
        <v>0</v>
      </c>
      <c r="S28" s="205">
        <v>0</v>
      </c>
      <c r="T28" s="205">
        <v>182</v>
      </c>
      <c r="U28" s="205">
        <v>182</v>
      </c>
      <c r="V28" s="205">
        <v>0</v>
      </c>
      <c r="W28" s="205">
        <v>0</v>
      </c>
    </row>
    <row r="29" spans="1:25" s="7" customFormat="1">
      <c r="A29" s="189" t="s">
        <v>736</v>
      </c>
      <c r="B29" s="190">
        <v>0</v>
      </c>
      <c r="C29" s="190">
        <v>0</v>
      </c>
      <c r="D29" s="190">
        <v>108.24</v>
      </c>
      <c r="E29" s="190">
        <v>108.24</v>
      </c>
      <c r="F29" s="190">
        <v>0</v>
      </c>
      <c r="G29" s="190">
        <v>0</v>
      </c>
      <c r="I29" s="186" t="s">
        <v>1130</v>
      </c>
      <c r="J29" s="188">
        <v>0</v>
      </c>
      <c r="K29" s="188">
        <v>0</v>
      </c>
      <c r="L29" s="188">
        <v>33566.400000000001</v>
      </c>
      <c r="M29" s="188">
        <v>33566.400000000001</v>
      </c>
      <c r="N29" s="188">
        <v>0</v>
      </c>
      <c r="O29" s="188">
        <v>0</v>
      </c>
      <c r="P29" s="193"/>
      <c r="Q29" s="202" t="s">
        <v>1900</v>
      </c>
      <c r="R29" s="205">
        <v>0</v>
      </c>
      <c r="S29" s="205">
        <v>0</v>
      </c>
      <c r="T29" s="205">
        <v>174.99</v>
      </c>
      <c r="U29" s="205">
        <v>174.99</v>
      </c>
      <c r="V29" s="205">
        <v>0</v>
      </c>
      <c r="W29" s="205">
        <v>0</v>
      </c>
    </row>
    <row r="30" spans="1:25" s="7" customFormat="1">
      <c r="A30" s="189" t="s">
        <v>737</v>
      </c>
      <c r="B30" s="190">
        <v>0</v>
      </c>
      <c r="C30" s="190">
        <v>0</v>
      </c>
      <c r="D30" s="190">
        <v>15737.542800000001</v>
      </c>
      <c r="E30" s="190">
        <v>15696.18792</v>
      </c>
      <c r="F30" s="190">
        <v>41.354879999999994</v>
      </c>
      <c r="G30" s="190">
        <v>0</v>
      </c>
      <c r="I30" s="186" t="s">
        <v>1131</v>
      </c>
      <c r="J30" s="188">
        <v>0</v>
      </c>
      <c r="K30" s="188">
        <v>0</v>
      </c>
      <c r="L30" s="188">
        <v>135676.13389</v>
      </c>
      <c r="M30" s="188">
        <v>135676.13389</v>
      </c>
      <c r="N30" s="188">
        <v>0</v>
      </c>
      <c r="O30" s="188">
        <v>0</v>
      </c>
      <c r="P30" s="193"/>
      <c r="Q30" s="202" t="s">
        <v>1901</v>
      </c>
      <c r="R30" s="205">
        <v>0</v>
      </c>
      <c r="S30" s="205">
        <v>0</v>
      </c>
      <c r="T30" s="205">
        <v>164.404</v>
      </c>
      <c r="U30" s="205">
        <v>164.404</v>
      </c>
      <c r="V30" s="205">
        <v>0</v>
      </c>
      <c r="W30" s="205">
        <v>0</v>
      </c>
    </row>
    <row r="31" spans="1:25" s="7" customFormat="1">
      <c r="A31" s="189" t="s">
        <v>738</v>
      </c>
      <c r="B31" s="190">
        <v>0</v>
      </c>
      <c r="C31" s="190">
        <v>0</v>
      </c>
      <c r="D31" s="190">
        <v>620</v>
      </c>
      <c r="E31" s="190">
        <v>620</v>
      </c>
      <c r="F31" s="190">
        <v>0</v>
      </c>
      <c r="G31" s="190">
        <v>0</v>
      </c>
      <c r="I31" s="186" t="s">
        <v>1132</v>
      </c>
      <c r="J31" s="188">
        <v>0</v>
      </c>
      <c r="K31" s="188">
        <v>0</v>
      </c>
      <c r="L31" s="188">
        <v>77240.586680000008</v>
      </c>
      <c r="M31" s="188">
        <v>77240.586680000008</v>
      </c>
      <c r="N31" s="188">
        <v>0</v>
      </c>
      <c r="O31" s="188">
        <v>0</v>
      </c>
      <c r="P31" s="193"/>
      <c r="Q31" s="202" t="s">
        <v>1902</v>
      </c>
      <c r="R31" s="205">
        <v>0</v>
      </c>
      <c r="S31" s="205">
        <v>0</v>
      </c>
      <c r="T31" s="205">
        <v>147.97999999999999</v>
      </c>
      <c r="U31" s="205">
        <v>147.97999999999999</v>
      </c>
      <c r="V31" s="205">
        <v>0</v>
      </c>
      <c r="W31" s="205">
        <v>0</v>
      </c>
    </row>
    <row r="32" spans="1:25" s="7" customFormat="1">
      <c r="A32" s="189" t="s">
        <v>739</v>
      </c>
      <c r="B32" s="190">
        <v>0</v>
      </c>
      <c r="C32" s="190">
        <v>0</v>
      </c>
      <c r="D32" s="190">
        <v>899.09100000000001</v>
      </c>
      <c r="E32" s="190">
        <v>899.09100000000001</v>
      </c>
      <c r="F32" s="190">
        <v>0</v>
      </c>
      <c r="G32" s="190">
        <v>0</v>
      </c>
      <c r="I32" s="186" t="s">
        <v>1133</v>
      </c>
      <c r="J32" s="188">
        <v>0</v>
      </c>
      <c r="K32" s="188">
        <v>0</v>
      </c>
      <c r="L32" s="188">
        <v>11430</v>
      </c>
      <c r="M32" s="188">
        <v>11430</v>
      </c>
      <c r="N32" s="188">
        <v>0</v>
      </c>
      <c r="O32" s="188">
        <v>0</v>
      </c>
      <c r="P32" s="193"/>
      <c r="Q32" s="202" t="s">
        <v>1903</v>
      </c>
      <c r="R32" s="205">
        <v>0</v>
      </c>
      <c r="S32" s="205">
        <v>0</v>
      </c>
      <c r="T32" s="205">
        <v>29.8</v>
      </c>
      <c r="U32" s="205">
        <v>14.9</v>
      </c>
      <c r="V32" s="205">
        <v>14.9</v>
      </c>
      <c r="W32" s="205">
        <v>0</v>
      </c>
    </row>
    <row r="33" spans="1:23" s="7" customFormat="1">
      <c r="A33" s="189" t="s">
        <v>740</v>
      </c>
      <c r="B33" s="190">
        <v>0</v>
      </c>
      <c r="C33" s="190">
        <v>0</v>
      </c>
      <c r="D33" s="190">
        <v>2787.8139999999999</v>
      </c>
      <c r="E33" s="190">
        <v>2739.4859999999999</v>
      </c>
      <c r="F33" s="190">
        <v>48.328000000000003</v>
      </c>
      <c r="G33" s="190">
        <v>0</v>
      </c>
      <c r="I33" s="186" t="s">
        <v>1134</v>
      </c>
      <c r="J33" s="188">
        <v>0</v>
      </c>
      <c r="K33" s="188">
        <v>0</v>
      </c>
      <c r="L33" s="188">
        <v>4267.0886399999999</v>
      </c>
      <c r="M33" s="188">
        <v>4267.0886399999999</v>
      </c>
      <c r="N33" s="188">
        <v>0</v>
      </c>
      <c r="O33" s="188">
        <v>0</v>
      </c>
      <c r="P33" s="193"/>
      <c r="Q33" s="202" t="s">
        <v>1904</v>
      </c>
      <c r="R33" s="205">
        <v>0</v>
      </c>
      <c r="S33" s="205">
        <v>0</v>
      </c>
      <c r="T33" s="205">
        <v>4563.8</v>
      </c>
      <c r="U33" s="205">
        <v>4563.8</v>
      </c>
      <c r="V33" s="205">
        <v>0</v>
      </c>
      <c r="W33" s="205">
        <v>0</v>
      </c>
    </row>
    <row r="34" spans="1:23" s="7" customFormat="1">
      <c r="A34" s="189" t="s">
        <v>741</v>
      </c>
      <c r="B34" s="190">
        <v>0</v>
      </c>
      <c r="C34" s="190">
        <v>0</v>
      </c>
      <c r="D34" s="190">
        <v>1440</v>
      </c>
      <c r="E34" s="190">
        <v>1440</v>
      </c>
      <c r="F34" s="190">
        <v>0</v>
      </c>
      <c r="G34" s="190">
        <v>0</v>
      </c>
      <c r="I34" s="186" t="s">
        <v>1135</v>
      </c>
      <c r="J34" s="188">
        <v>295</v>
      </c>
      <c r="K34" s="188">
        <v>0</v>
      </c>
      <c r="L34" s="188">
        <v>0</v>
      </c>
      <c r="M34" s="188">
        <v>0</v>
      </c>
      <c r="N34" s="188">
        <v>295</v>
      </c>
      <c r="O34" s="188">
        <v>0</v>
      </c>
      <c r="P34" s="193"/>
      <c r="Q34" s="202" t="s">
        <v>1905</v>
      </c>
      <c r="R34" s="205">
        <v>0</v>
      </c>
      <c r="S34" s="205">
        <v>0</v>
      </c>
      <c r="T34" s="205">
        <v>200</v>
      </c>
      <c r="U34" s="205">
        <v>0</v>
      </c>
      <c r="V34" s="205">
        <v>200</v>
      </c>
      <c r="W34" s="205">
        <v>0</v>
      </c>
    </row>
    <row r="35" spans="1:23" s="7" customFormat="1">
      <c r="A35" s="189" t="s">
        <v>742</v>
      </c>
      <c r="B35" s="190">
        <v>0</v>
      </c>
      <c r="C35" s="190">
        <v>0</v>
      </c>
      <c r="D35" s="190">
        <v>187.5</v>
      </c>
      <c r="E35" s="190">
        <v>187.5</v>
      </c>
      <c r="F35" s="190">
        <v>0</v>
      </c>
      <c r="G35" s="190">
        <v>0</v>
      </c>
      <c r="I35" s="186" t="s">
        <v>1136</v>
      </c>
      <c r="J35" s="188">
        <v>0</v>
      </c>
      <c r="K35" s="188">
        <v>0</v>
      </c>
      <c r="L35" s="188">
        <v>12557.23798</v>
      </c>
      <c r="M35" s="188">
        <v>12557.23798</v>
      </c>
      <c r="N35" s="188">
        <v>0</v>
      </c>
      <c r="O35" s="188">
        <v>0</v>
      </c>
      <c r="P35" s="193"/>
      <c r="Q35" s="202" t="s">
        <v>1906</v>
      </c>
      <c r="R35" s="205">
        <v>0</v>
      </c>
      <c r="S35" s="205">
        <v>0</v>
      </c>
      <c r="T35" s="205">
        <v>22.5</v>
      </c>
      <c r="U35" s="205">
        <v>22.5</v>
      </c>
      <c r="V35" s="205">
        <v>0</v>
      </c>
      <c r="W35" s="205">
        <v>0</v>
      </c>
    </row>
    <row r="36" spans="1:23" s="7" customFormat="1">
      <c r="A36" s="189" t="s">
        <v>743</v>
      </c>
      <c r="B36" s="190">
        <v>0</v>
      </c>
      <c r="C36" s="190">
        <v>0</v>
      </c>
      <c r="D36" s="190">
        <v>61.158000000000001</v>
      </c>
      <c r="E36" s="190">
        <v>61.158000000000001</v>
      </c>
      <c r="F36" s="190">
        <v>0</v>
      </c>
      <c r="G36" s="190">
        <v>0</v>
      </c>
      <c r="I36" s="186" t="s">
        <v>1137</v>
      </c>
      <c r="J36" s="188">
        <v>0</v>
      </c>
      <c r="K36" s="188">
        <v>0</v>
      </c>
      <c r="L36" s="188">
        <v>142517.64521000002</v>
      </c>
      <c r="M36" s="188">
        <v>142517.64521000002</v>
      </c>
      <c r="N36" s="188">
        <v>0</v>
      </c>
      <c r="O36" s="188">
        <v>0</v>
      </c>
      <c r="P36" s="193"/>
      <c r="Q36" s="202" t="s">
        <v>1907</v>
      </c>
      <c r="R36" s="205">
        <v>0</v>
      </c>
      <c r="S36" s="205">
        <v>0</v>
      </c>
      <c r="T36" s="205">
        <v>236</v>
      </c>
      <c r="U36" s="205">
        <v>236</v>
      </c>
      <c r="V36" s="205">
        <v>0</v>
      </c>
      <c r="W36" s="205">
        <v>0</v>
      </c>
    </row>
    <row r="37" spans="1:23" s="7" customFormat="1">
      <c r="A37" s="189" t="s">
        <v>744</v>
      </c>
      <c r="B37" s="190">
        <v>97.091999999999999</v>
      </c>
      <c r="C37" s="190">
        <v>0</v>
      </c>
      <c r="D37" s="190">
        <v>2429.346</v>
      </c>
      <c r="E37" s="190">
        <v>2526.4380000000001</v>
      </c>
      <c r="F37" s="190">
        <v>0</v>
      </c>
      <c r="G37" s="190">
        <v>0</v>
      </c>
      <c r="I37" s="186" t="s">
        <v>1138</v>
      </c>
      <c r="J37" s="188">
        <v>0.01</v>
      </c>
      <c r="K37" s="188">
        <v>0</v>
      </c>
      <c r="L37" s="188">
        <v>0</v>
      </c>
      <c r="M37" s="188">
        <v>0</v>
      </c>
      <c r="N37" s="188">
        <v>0.01</v>
      </c>
      <c r="O37" s="188">
        <v>0</v>
      </c>
      <c r="P37" s="193"/>
      <c r="Q37" s="202" t="s">
        <v>1908</v>
      </c>
      <c r="R37" s="205">
        <v>0</v>
      </c>
      <c r="S37" s="205">
        <v>0</v>
      </c>
      <c r="T37" s="205">
        <v>45.8</v>
      </c>
      <c r="U37" s="205">
        <v>45.8</v>
      </c>
      <c r="V37" s="205">
        <v>0</v>
      </c>
      <c r="W37" s="205">
        <v>0</v>
      </c>
    </row>
    <row r="38" spans="1:23" s="7" customFormat="1">
      <c r="A38" s="189" t="s">
        <v>745</v>
      </c>
      <c r="B38" s="190">
        <v>0</v>
      </c>
      <c r="C38" s="190">
        <v>0</v>
      </c>
      <c r="D38" s="190">
        <v>10474.67626</v>
      </c>
      <c r="E38" s="190">
        <v>9113.0261799999989</v>
      </c>
      <c r="F38" s="190">
        <v>1361.6500800000001</v>
      </c>
      <c r="G38" s="190">
        <v>0</v>
      </c>
      <c r="I38" s="186" t="s">
        <v>1139</v>
      </c>
      <c r="J38" s="188">
        <v>485.59</v>
      </c>
      <c r="K38" s="188">
        <v>0</v>
      </c>
      <c r="L38" s="188">
        <v>26396.148000000001</v>
      </c>
      <c r="M38" s="188">
        <v>25642.567999999999</v>
      </c>
      <c r="N38" s="188">
        <v>1239.17</v>
      </c>
      <c r="O38" s="188">
        <v>0</v>
      </c>
      <c r="P38" s="193"/>
      <c r="Q38" s="202" t="s">
        <v>1909</v>
      </c>
      <c r="R38" s="205">
        <v>0</v>
      </c>
      <c r="S38" s="205">
        <v>0</v>
      </c>
      <c r="T38" s="205">
        <v>1300</v>
      </c>
      <c r="U38" s="205">
        <v>1300</v>
      </c>
      <c r="V38" s="205">
        <v>0</v>
      </c>
      <c r="W38" s="205">
        <v>0</v>
      </c>
    </row>
    <row r="39" spans="1:23" s="7" customFormat="1">
      <c r="A39" s="189" t="s">
        <v>746</v>
      </c>
      <c r="B39" s="190">
        <v>0</v>
      </c>
      <c r="C39" s="190">
        <v>0</v>
      </c>
      <c r="D39" s="190">
        <v>948.9</v>
      </c>
      <c r="E39" s="190">
        <v>948.9</v>
      </c>
      <c r="F39" s="190">
        <v>0</v>
      </c>
      <c r="G39" s="190">
        <v>0</v>
      </c>
      <c r="I39" s="186" t="s">
        <v>1140</v>
      </c>
      <c r="J39" s="188">
        <v>0</v>
      </c>
      <c r="K39" s="188">
        <v>0</v>
      </c>
      <c r="L39" s="188">
        <v>600.12900000000002</v>
      </c>
      <c r="M39" s="188">
        <v>524.149</v>
      </c>
      <c r="N39" s="188">
        <v>75.98</v>
      </c>
      <c r="O39" s="188">
        <v>0</v>
      </c>
      <c r="P39" s="193"/>
      <c r="Q39" s="202" t="s">
        <v>1910</v>
      </c>
      <c r="R39" s="205">
        <v>0</v>
      </c>
      <c r="S39" s="205">
        <v>0</v>
      </c>
      <c r="T39" s="205">
        <v>74.212000000000003</v>
      </c>
      <c r="U39" s="205">
        <v>74.212000000000003</v>
      </c>
      <c r="V39" s="205">
        <v>0</v>
      </c>
      <c r="W39" s="205">
        <v>0</v>
      </c>
    </row>
    <row r="40" spans="1:23" s="7" customFormat="1">
      <c r="A40" s="189" t="s">
        <v>747</v>
      </c>
      <c r="B40" s="190">
        <v>0</v>
      </c>
      <c r="C40" s="190">
        <v>0</v>
      </c>
      <c r="D40" s="190">
        <v>1629.502</v>
      </c>
      <c r="E40" s="190">
        <v>1629.502</v>
      </c>
      <c r="F40" s="190">
        <v>0</v>
      </c>
      <c r="G40" s="190">
        <v>0</v>
      </c>
      <c r="I40" s="186" t="s">
        <v>1141</v>
      </c>
      <c r="J40" s="188">
        <v>0</v>
      </c>
      <c r="K40" s="188">
        <v>0</v>
      </c>
      <c r="L40" s="188">
        <v>77891.893150000004</v>
      </c>
      <c r="M40" s="188">
        <v>77891.893150000004</v>
      </c>
      <c r="N40" s="188">
        <v>0</v>
      </c>
      <c r="O40" s="188">
        <v>0</v>
      </c>
      <c r="P40" s="193"/>
      <c r="Q40" s="202" t="s">
        <v>1911</v>
      </c>
      <c r="R40" s="205">
        <v>0</v>
      </c>
      <c r="S40" s="205">
        <v>0</v>
      </c>
      <c r="T40" s="205">
        <v>127.2</v>
      </c>
      <c r="U40" s="205">
        <v>90.2</v>
      </c>
      <c r="V40" s="205">
        <v>37</v>
      </c>
      <c r="W40" s="205">
        <v>0</v>
      </c>
    </row>
    <row r="41" spans="1:23" s="7" customFormat="1">
      <c r="A41" s="189" t="s">
        <v>748</v>
      </c>
      <c r="B41" s="190">
        <v>0</v>
      </c>
      <c r="C41" s="190">
        <v>0</v>
      </c>
      <c r="D41" s="190">
        <v>1058516.08705</v>
      </c>
      <c r="E41" s="190">
        <v>695708.59927999997</v>
      </c>
      <c r="F41" s="190">
        <v>362807.48777000001</v>
      </c>
      <c r="G41" s="190">
        <v>0</v>
      </c>
      <c r="I41" s="186" t="s">
        <v>1142</v>
      </c>
      <c r="J41" s="188">
        <v>0</v>
      </c>
      <c r="K41" s="188">
        <v>0</v>
      </c>
      <c r="L41" s="188">
        <v>3101.8395699999996</v>
      </c>
      <c r="M41" s="188">
        <v>3101.8395699999996</v>
      </c>
      <c r="N41" s="188">
        <v>0</v>
      </c>
      <c r="O41" s="188">
        <v>0</v>
      </c>
      <c r="P41" s="193"/>
      <c r="Q41" s="202" t="s">
        <v>1912</v>
      </c>
      <c r="R41" s="205">
        <v>0</v>
      </c>
      <c r="S41" s="205">
        <v>0</v>
      </c>
      <c r="T41" s="205">
        <v>27</v>
      </c>
      <c r="U41" s="205">
        <v>27</v>
      </c>
      <c r="V41" s="205">
        <v>0</v>
      </c>
      <c r="W41" s="205">
        <v>0</v>
      </c>
    </row>
    <row r="42" spans="1:23" s="7" customFormat="1">
      <c r="A42" s="189" t="s">
        <v>749</v>
      </c>
      <c r="B42" s="190">
        <v>0</v>
      </c>
      <c r="C42" s="190">
        <v>0</v>
      </c>
      <c r="D42" s="190">
        <v>130</v>
      </c>
      <c r="E42" s="190">
        <v>130</v>
      </c>
      <c r="F42" s="190">
        <v>0</v>
      </c>
      <c r="G42" s="190">
        <v>0</v>
      </c>
      <c r="I42" s="186" t="s">
        <v>1143</v>
      </c>
      <c r="J42" s="188">
        <v>0</v>
      </c>
      <c r="K42" s="188">
        <v>0</v>
      </c>
      <c r="L42" s="188">
        <v>430</v>
      </c>
      <c r="M42" s="188">
        <v>260</v>
      </c>
      <c r="N42" s="188">
        <v>170</v>
      </c>
      <c r="O42" s="188">
        <v>0</v>
      </c>
      <c r="P42" s="193"/>
      <c r="Q42" s="202" t="s">
        <v>1913</v>
      </c>
      <c r="R42" s="205">
        <v>0</v>
      </c>
      <c r="S42" s="205">
        <v>0</v>
      </c>
      <c r="T42" s="205">
        <v>309</v>
      </c>
      <c r="U42" s="205">
        <v>309</v>
      </c>
      <c r="V42" s="205">
        <v>0</v>
      </c>
      <c r="W42" s="205">
        <v>0</v>
      </c>
    </row>
    <row r="43" spans="1:23" s="7" customFormat="1">
      <c r="A43" s="189" t="s">
        <v>750</v>
      </c>
      <c r="B43" s="190">
        <v>0</v>
      </c>
      <c r="C43" s="190">
        <v>0</v>
      </c>
      <c r="D43" s="190">
        <v>14963.044</v>
      </c>
      <c r="E43" s="190">
        <v>14963.044</v>
      </c>
      <c r="F43" s="190">
        <v>0</v>
      </c>
      <c r="G43" s="190">
        <v>0</v>
      </c>
      <c r="I43" s="186" t="s">
        <v>1144</v>
      </c>
      <c r="J43" s="188">
        <v>0</v>
      </c>
      <c r="K43" s="188">
        <v>0</v>
      </c>
      <c r="L43" s="188">
        <v>11985.12</v>
      </c>
      <c r="M43" s="188">
        <v>11985.12</v>
      </c>
      <c r="N43" s="188">
        <v>0</v>
      </c>
      <c r="O43" s="188">
        <v>0</v>
      </c>
      <c r="P43" s="193"/>
      <c r="Q43" s="202" t="s">
        <v>1914</v>
      </c>
      <c r="R43" s="205">
        <v>0</v>
      </c>
      <c r="S43" s="205">
        <v>0</v>
      </c>
      <c r="T43" s="205">
        <v>6</v>
      </c>
      <c r="U43" s="205">
        <v>6</v>
      </c>
      <c r="V43" s="205">
        <v>0</v>
      </c>
      <c r="W43" s="205">
        <v>0</v>
      </c>
    </row>
    <row r="44" spans="1:23" s="7" customFormat="1">
      <c r="A44" s="189" t="s">
        <v>751</v>
      </c>
      <c r="B44" s="190">
        <v>0</v>
      </c>
      <c r="C44" s="190">
        <v>0</v>
      </c>
      <c r="D44" s="190">
        <v>149.3184</v>
      </c>
      <c r="E44" s="190">
        <v>149.3184</v>
      </c>
      <c r="F44" s="190">
        <v>0</v>
      </c>
      <c r="G44" s="190">
        <v>0</v>
      </c>
      <c r="I44" s="186" t="s">
        <v>1145</v>
      </c>
      <c r="J44" s="188">
        <v>0</v>
      </c>
      <c r="K44" s="188">
        <v>0</v>
      </c>
      <c r="L44" s="188">
        <v>150</v>
      </c>
      <c r="M44" s="188">
        <v>150</v>
      </c>
      <c r="N44" s="188">
        <v>0</v>
      </c>
      <c r="O44" s="188">
        <v>0</v>
      </c>
      <c r="P44" s="193"/>
      <c r="Q44" s="202" t="s">
        <v>1915</v>
      </c>
      <c r="R44" s="205">
        <v>0</v>
      </c>
      <c r="S44" s="205">
        <v>0</v>
      </c>
      <c r="T44" s="205">
        <v>68</v>
      </c>
      <c r="U44" s="205">
        <v>68</v>
      </c>
      <c r="V44" s="205">
        <v>0</v>
      </c>
      <c r="W44" s="205">
        <v>0</v>
      </c>
    </row>
    <row r="45" spans="1:23" s="7" customFormat="1">
      <c r="A45" s="189" t="s">
        <v>752</v>
      </c>
      <c r="B45" s="190">
        <v>0</v>
      </c>
      <c r="C45" s="190">
        <v>0</v>
      </c>
      <c r="D45" s="190">
        <v>73.5</v>
      </c>
      <c r="E45" s="190">
        <v>73.5</v>
      </c>
      <c r="F45" s="190">
        <v>0</v>
      </c>
      <c r="G45" s="190">
        <v>0</v>
      </c>
      <c r="I45" s="186" t="s">
        <v>1146</v>
      </c>
      <c r="J45" s="188">
        <v>0</v>
      </c>
      <c r="K45" s="188">
        <v>0</v>
      </c>
      <c r="L45" s="188">
        <v>235.2</v>
      </c>
      <c r="M45" s="188">
        <v>235.2</v>
      </c>
      <c r="N45" s="188">
        <v>0</v>
      </c>
      <c r="O45" s="188">
        <v>0</v>
      </c>
      <c r="P45" s="193"/>
      <c r="Q45" s="202" t="s">
        <v>1916</v>
      </c>
      <c r="R45" s="205">
        <v>0</v>
      </c>
      <c r="S45" s="205">
        <v>0</v>
      </c>
      <c r="T45" s="205">
        <v>1879.2</v>
      </c>
      <c r="U45" s="205">
        <v>1879.2</v>
      </c>
      <c r="V45" s="205">
        <v>0</v>
      </c>
      <c r="W45" s="205">
        <v>0</v>
      </c>
    </row>
    <row r="46" spans="1:23" s="7" customFormat="1">
      <c r="A46" s="189" t="s">
        <v>753</v>
      </c>
      <c r="B46" s="190">
        <v>0</v>
      </c>
      <c r="C46" s="190">
        <v>0</v>
      </c>
      <c r="D46" s="190">
        <v>57.96</v>
      </c>
      <c r="E46" s="190">
        <v>57.96</v>
      </c>
      <c r="F46" s="190">
        <v>0</v>
      </c>
      <c r="G46" s="190">
        <v>0</v>
      </c>
      <c r="I46" s="186" t="s">
        <v>1147</v>
      </c>
      <c r="J46" s="188">
        <v>0</v>
      </c>
      <c r="K46" s="188">
        <v>0</v>
      </c>
      <c r="L46" s="188">
        <v>2832.6419999999998</v>
      </c>
      <c r="M46" s="188">
        <v>2830.6419999999998</v>
      </c>
      <c r="N46" s="188">
        <v>2</v>
      </c>
      <c r="O46" s="188">
        <v>0</v>
      </c>
      <c r="P46" s="193"/>
      <c r="Q46" s="202" t="s">
        <v>1917</v>
      </c>
      <c r="R46" s="205">
        <v>0</v>
      </c>
      <c r="S46" s="205">
        <v>0</v>
      </c>
      <c r="T46" s="205">
        <v>14.45</v>
      </c>
      <c r="U46" s="205">
        <v>14.45</v>
      </c>
      <c r="V46" s="205">
        <v>0</v>
      </c>
      <c r="W46" s="205">
        <v>0</v>
      </c>
    </row>
    <row r="47" spans="1:23" s="7" customFormat="1">
      <c r="A47" s="189" t="s">
        <v>754</v>
      </c>
      <c r="B47" s="190">
        <v>0</v>
      </c>
      <c r="C47" s="190">
        <v>0</v>
      </c>
      <c r="D47" s="190">
        <v>280</v>
      </c>
      <c r="E47" s="190">
        <v>280</v>
      </c>
      <c r="F47" s="190">
        <v>0</v>
      </c>
      <c r="G47" s="190">
        <v>0</v>
      </c>
      <c r="I47" s="186" t="s">
        <v>1148</v>
      </c>
      <c r="J47" s="188">
        <v>0</v>
      </c>
      <c r="K47" s="188">
        <v>0</v>
      </c>
      <c r="L47" s="188">
        <v>89.147999999999996</v>
      </c>
      <c r="M47" s="188">
        <v>0</v>
      </c>
      <c r="N47" s="188">
        <v>89.147999999999996</v>
      </c>
      <c r="O47" s="188">
        <v>0</v>
      </c>
      <c r="P47" s="193"/>
      <c r="Q47" s="202" t="s">
        <v>1918</v>
      </c>
      <c r="R47" s="205">
        <v>0</v>
      </c>
      <c r="S47" s="205">
        <v>0</v>
      </c>
      <c r="T47" s="205">
        <v>6590</v>
      </c>
      <c r="U47" s="205">
        <v>240</v>
      </c>
      <c r="V47" s="208">
        <v>6350</v>
      </c>
      <c r="W47" s="205">
        <v>0</v>
      </c>
    </row>
    <row r="48" spans="1:23" s="7" customFormat="1">
      <c r="A48" s="189" t="s">
        <v>755</v>
      </c>
      <c r="B48" s="190">
        <v>0</v>
      </c>
      <c r="C48" s="190">
        <v>0</v>
      </c>
      <c r="D48" s="190">
        <v>56.44</v>
      </c>
      <c r="E48" s="190">
        <v>56.44</v>
      </c>
      <c r="F48" s="190">
        <v>0</v>
      </c>
      <c r="G48" s="190">
        <v>0</v>
      </c>
      <c r="I48" s="186" t="s">
        <v>1149</v>
      </c>
      <c r="J48" s="188">
        <v>0</v>
      </c>
      <c r="K48" s="188">
        <v>0</v>
      </c>
      <c r="L48" s="188">
        <v>118278.57252</v>
      </c>
      <c r="M48" s="188">
        <v>114368.95969</v>
      </c>
      <c r="N48" s="197">
        <v>3909.61283</v>
      </c>
      <c r="O48" s="188">
        <v>0</v>
      </c>
      <c r="P48" s="193"/>
      <c r="Q48" s="202" t="s">
        <v>1262</v>
      </c>
      <c r="R48" s="205">
        <v>0</v>
      </c>
      <c r="S48" s="205">
        <v>0</v>
      </c>
      <c r="T48" s="205">
        <v>309.42200000000003</v>
      </c>
      <c r="U48" s="205">
        <v>309.42200000000003</v>
      </c>
      <c r="V48" s="205">
        <v>0</v>
      </c>
      <c r="W48" s="205">
        <v>0</v>
      </c>
    </row>
    <row r="49" spans="1:23" s="7" customFormat="1">
      <c r="A49" s="189" t="s">
        <v>756</v>
      </c>
      <c r="B49" s="190">
        <v>0</v>
      </c>
      <c r="C49" s="190">
        <v>0</v>
      </c>
      <c r="D49" s="190">
        <v>200613.44</v>
      </c>
      <c r="E49" s="190">
        <v>192967.04000000001</v>
      </c>
      <c r="F49" s="190">
        <v>7646.4</v>
      </c>
      <c r="G49" s="190">
        <v>0</v>
      </c>
      <c r="I49" s="186" t="s">
        <v>1150</v>
      </c>
      <c r="J49" s="188">
        <v>416.24599999999998</v>
      </c>
      <c r="K49" s="188">
        <v>0</v>
      </c>
      <c r="L49" s="188">
        <v>75</v>
      </c>
      <c r="M49" s="188">
        <v>491.24599999999998</v>
      </c>
      <c r="N49" s="188">
        <v>0</v>
      </c>
      <c r="O49" s="188">
        <v>0</v>
      </c>
      <c r="P49" s="193"/>
      <c r="Q49" s="202" t="s">
        <v>1919</v>
      </c>
      <c r="R49" s="205">
        <v>0</v>
      </c>
      <c r="S49" s="205">
        <v>0</v>
      </c>
      <c r="T49" s="205">
        <v>43.1</v>
      </c>
      <c r="U49" s="205">
        <v>43.1</v>
      </c>
      <c r="V49" s="205">
        <v>0</v>
      </c>
      <c r="W49" s="205">
        <v>0</v>
      </c>
    </row>
    <row r="50" spans="1:23" s="7" customFormat="1">
      <c r="A50" s="189" t="s">
        <v>757</v>
      </c>
      <c r="B50" s="190">
        <v>0</v>
      </c>
      <c r="C50" s="190">
        <v>0</v>
      </c>
      <c r="D50" s="190">
        <v>187.75</v>
      </c>
      <c r="E50" s="190">
        <v>187.75</v>
      </c>
      <c r="F50" s="190">
        <v>0</v>
      </c>
      <c r="G50" s="190">
        <v>0</v>
      </c>
      <c r="I50" s="186" t="s">
        <v>1151</v>
      </c>
      <c r="J50" s="188">
        <v>0</v>
      </c>
      <c r="K50" s="188">
        <v>0</v>
      </c>
      <c r="L50" s="188">
        <v>800</v>
      </c>
      <c r="M50" s="188">
        <v>800</v>
      </c>
      <c r="N50" s="188">
        <v>0</v>
      </c>
      <c r="O50" s="188">
        <v>0</v>
      </c>
      <c r="P50" s="193"/>
      <c r="Q50" s="202" t="s">
        <v>1920</v>
      </c>
      <c r="R50" s="205">
        <v>0</v>
      </c>
      <c r="S50" s="205">
        <v>0</v>
      </c>
      <c r="T50" s="205">
        <v>83.6</v>
      </c>
      <c r="U50" s="205">
        <v>83.6</v>
      </c>
      <c r="V50" s="205">
        <v>0</v>
      </c>
      <c r="W50" s="205">
        <v>0</v>
      </c>
    </row>
    <row r="51" spans="1:23" s="7" customFormat="1">
      <c r="A51" s="189" t="s">
        <v>758</v>
      </c>
      <c r="B51" s="190">
        <v>0</v>
      </c>
      <c r="C51" s="190">
        <v>0</v>
      </c>
      <c r="D51" s="190">
        <v>2213.6849999999999</v>
      </c>
      <c r="E51" s="190">
        <v>2213.6849999999999</v>
      </c>
      <c r="F51" s="190">
        <v>0</v>
      </c>
      <c r="G51" s="190">
        <v>0</v>
      </c>
      <c r="I51" s="186" t="s">
        <v>1152</v>
      </c>
      <c r="J51" s="188">
        <v>0</v>
      </c>
      <c r="K51" s="188">
        <v>0</v>
      </c>
      <c r="L51" s="188">
        <v>34.700000000000003</v>
      </c>
      <c r="M51" s="188">
        <v>34.700000000000003</v>
      </c>
      <c r="N51" s="188">
        <v>0</v>
      </c>
      <c r="O51" s="188">
        <v>0</v>
      </c>
      <c r="P51" s="193"/>
      <c r="Q51" s="202" t="s">
        <v>1921</v>
      </c>
      <c r="R51" s="205">
        <v>0</v>
      </c>
      <c r="S51" s="205">
        <v>0</v>
      </c>
      <c r="T51" s="205">
        <v>35</v>
      </c>
      <c r="U51" s="205">
        <v>35</v>
      </c>
      <c r="V51" s="205">
        <v>0</v>
      </c>
      <c r="W51" s="205">
        <v>0</v>
      </c>
    </row>
    <row r="52" spans="1:23" s="7" customFormat="1">
      <c r="A52" s="189" t="s">
        <v>759</v>
      </c>
      <c r="B52" s="190">
        <v>0</v>
      </c>
      <c r="C52" s="190">
        <v>0</v>
      </c>
      <c r="D52" s="190">
        <v>237</v>
      </c>
      <c r="E52" s="190">
        <v>237</v>
      </c>
      <c r="F52" s="190">
        <v>0</v>
      </c>
      <c r="G52" s="190">
        <v>0</v>
      </c>
      <c r="I52" s="186" t="s">
        <v>1153</v>
      </c>
      <c r="J52" s="188">
        <v>0</v>
      </c>
      <c r="K52" s="188">
        <v>0</v>
      </c>
      <c r="L52" s="188">
        <v>1450</v>
      </c>
      <c r="M52" s="188">
        <v>1450</v>
      </c>
      <c r="N52" s="188">
        <v>0</v>
      </c>
      <c r="O52" s="188">
        <v>0</v>
      </c>
      <c r="P52" s="193"/>
      <c r="Q52" s="202" t="s">
        <v>1922</v>
      </c>
      <c r="R52" s="205">
        <v>0</v>
      </c>
      <c r="S52" s="205">
        <v>0</v>
      </c>
      <c r="T52" s="205">
        <v>9.9</v>
      </c>
      <c r="U52" s="205">
        <v>9.9</v>
      </c>
      <c r="V52" s="205">
        <v>0</v>
      </c>
      <c r="W52" s="205">
        <v>0</v>
      </c>
    </row>
    <row r="53" spans="1:23" s="7" customFormat="1">
      <c r="A53" s="189" t="s">
        <v>760</v>
      </c>
      <c r="B53" s="190">
        <v>0</v>
      </c>
      <c r="C53" s="190">
        <v>0</v>
      </c>
      <c r="D53" s="190">
        <v>570</v>
      </c>
      <c r="E53" s="190">
        <v>570</v>
      </c>
      <c r="F53" s="190">
        <v>0</v>
      </c>
      <c r="G53" s="190">
        <v>0</v>
      </c>
      <c r="I53" s="186" t="s">
        <v>1154</v>
      </c>
      <c r="J53" s="188">
        <v>0</v>
      </c>
      <c r="K53" s="188">
        <v>0</v>
      </c>
      <c r="L53" s="188">
        <v>34423.65</v>
      </c>
      <c r="M53" s="188">
        <v>34423.65</v>
      </c>
      <c r="N53" s="188">
        <v>0</v>
      </c>
      <c r="O53" s="188">
        <v>0</v>
      </c>
      <c r="P53" s="193"/>
      <c r="Q53" s="202" t="s">
        <v>1923</v>
      </c>
      <c r="R53" s="205">
        <v>0</v>
      </c>
      <c r="S53" s="205">
        <v>0</v>
      </c>
      <c r="T53" s="205">
        <v>35</v>
      </c>
      <c r="U53" s="205">
        <v>0</v>
      </c>
      <c r="V53" s="205">
        <v>35</v>
      </c>
      <c r="W53" s="205">
        <v>0</v>
      </c>
    </row>
    <row r="54" spans="1:23" s="7" customFormat="1">
      <c r="A54" s="189" t="s">
        <v>761</v>
      </c>
      <c r="B54" s="190">
        <v>0</v>
      </c>
      <c r="C54" s="190">
        <v>0</v>
      </c>
      <c r="D54" s="190">
        <v>1376.25</v>
      </c>
      <c r="E54" s="190">
        <v>1376.25</v>
      </c>
      <c r="F54" s="190">
        <v>0</v>
      </c>
      <c r="G54" s="190">
        <v>0</v>
      </c>
      <c r="I54" s="186" t="s">
        <v>1155</v>
      </c>
      <c r="J54" s="188">
        <v>0</v>
      </c>
      <c r="K54" s="188">
        <v>0</v>
      </c>
      <c r="L54" s="188">
        <v>3482.8</v>
      </c>
      <c r="M54" s="188">
        <v>991.55669999999998</v>
      </c>
      <c r="N54" s="197">
        <v>2491.2432999999996</v>
      </c>
      <c r="O54" s="188">
        <v>0</v>
      </c>
      <c r="P54" s="193"/>
      <c r="Q54" s="202" t="s">
        <v>1924</v>
      </c>
      <c r="R54" s="205">
        <v>0</v>
      </c>
      <c r="S54" s="205">
        <v>0</v>
      </c>
      <c r="T54" s="205">
        <v>229.7</v>
      </c>
      <c r="U54" s="205">
        <v>229.7</v>
      </c>
      <c r="V54" s="205">
        <v>0</v>
      </c>
      <c r="W54" s="205">
        <v>0</v>
      </c>
    </row>
    <row r="55" spans="1:23" s="7" customFormat="1">
      <c r="A55" s="189" t="s">
        <v>762</v>
      </c>
      <c r="B55" s="190">
        <v>0</v>
      </c>
      <c r="C55" s="190">
        <v>0</v>
      </c>
      <c r="D55" s="190">
        <v>177</v>
      </c>
      <c r="E55" s="190">
        <v>177</v>
      </c>
      <c r="F55" s="190">
        <v>0</v>
      </c>
      <c r="G55" s="190">
        <v>0</v>
      </c>
      <c r="I55" s="186" t="s">
        <v>1156</v>
      </c>
      <c r="J55" s="188">
        <v>0</v>
      </c>
      <c r="K55" s="188">
        <v>0</v>
      </c>
      <c r="L55" s="188">
        <v>1661.925</v>
      </c>
      <c r="M55" s="188">
        <v>1544.625</v>
      </c>
      <c r="N55" s="188">
        <v>117.3</v>
      </c>
      <c r="O55" s="188">
        <v>0</v>
      </c>
      <c r="P55" s="193"/>
      <c r="Q55" s="202" t="s">
        <v>1925</v>
      </c>
      <c r="R55" s="205">
        <v>0</v>
      </c>
      <c r="S55" s="205">
        <v>0</v>
      </c>
      <c r="T55" s="205">
        <v>60</v>
      </c>
      <c r="U55" s="205">
        <v>60</v>
      </c>
      <c r="V55" s="205">
        <v>0</v>
      </c>
      <c r="W55" s="205">
        <v>0</v>
      </c>
    </row>
    <row r="56" spans="1:23" s="7" customFormat="1">
      <c r="A56" s="189" t="s">
        <v>763</v>
      </c>
      <c r="B56" s="190">
        <v>0</v>
      </c>
      <c r="C56" s="190">
        <v>0</v>
      </c>
      <c r="D56" s="190">
        <v>1377.41147</v>
      </c>
      <c r="E56" s="190">
        <v>1377.41147</v>
      </c>
      <c r="F56" s="190">
        <v>0</v>
      </c>
      <c r="G56" s="190">
        <v>0</v>
      </c>
      <c r="I56" s="186" t="s">
        <v>1157</v>
      </c>
      <c r="J56" s="188">
        <v>1213.8</v>
      </c>
      <c r="K56" s="188">
        <v>0</v>
      </c>
      <c r="L56" s="188">
        <v>912.79200000000003</v>
      </c>
      <c r="M56" s="188">
        <v>912.79200000000003</v>
      </c>
      <c r="N56" s="188">
        <v>1213.8</v>
      </c>
      <c r="O56" s="188">
        <v>0</v>
      </c>
      <c r="P56" s="193"/>
      <c r="Q56" s="202" t="s">
        <v>1278</v>
      </c>
      <c r="R56" s="205">
        <v>0</v>
      </c>
      <c r="S56" s="205">
        <v>0</v>
      </c>
      <c r="T56" s="205">
        <v>64.28</v>
      </c>
      <c r="U56" s="205">
        <v>40.76</v>
      </c>
      <c r="V56" s="205">
        <v>23.52</v>
      </c>
      <c r="W56" s="205">
        <v>0</v>
      </c>
    </row>
    <row r="57" spans="1:23" s="7" customFormat="1">
      <c r="A57" s="189" t="s">
        <v>764</v>
      </c>
      <c r="B57" s="190">
        <v>0</v>
      </c>
      <c r="C57" s="190">
        <v>0</v>
      </c>
      <c r="D57" s="190">
        <v>151.07400000000001</v>
      </c>
      <c r="E57" s="190">
        <v>151.07400000000001</v>
      </c>
      <c r="F57" s="190">
        <v>0</v>
      </c>
      <c r="G57" s="190">
        <v>0</v>
      </c>
      <c r="I57" s="186" t="s">
        <v>1158</v>
      </c>
      <c r="J57" s="188">
        <v>0</v>
      </c>
      <c r="K57" s="188">
        <v>0</v>
      </c>
      <c r="L57" s="188">
        <v>1565</v>
      </c>
      <c r="M57" s="188">
        <v>1565</v>
      </c>
      <c r="N57" s="188">
        <v>0</v>
      </c>
      <c r="O57" s="188">
        <v>0</v>
      </c>
      <c r="P57" s="193"/>
      <c r="Q57" s="202" t="s">
        <v>1926</v>
      </c>
      <c r="R57" s="205">
        <v>0</v>
      </c>
      <c r="S57" s="205">
        <v>0</v>
      </c>
      <c r="T57" s="205">
        <v>12.8</v>
      </c>
      <c r="U57" s="205">
        <v>12.8</v>
      </c>
      <c r="V57" s="205">
        <v>0</v>
      </c>
      <c r="W57" s="205">
        <v>0</v>
      </c>
    </row>
    <row r="58" spans="1:23" s="7" customFormat="1">
      <c r="A58" s="189" t="s">
        <v>765</v>
      </c>
      <c r="B58" s="190">
        <v>0</v>
      </c>
      <c r="C58" s="190">
        <v>0</v>
      </c>
      <c r="D58" s="190">
        <v>190.90799999999999</v>
      </c>
      <c r="E58" s="190">
        <v>190.90799999999999</v>
      </c>
      <c r="F58" s="190">
        <v>0</v>
      </c>
      <c r="G58" s="190">
        <v>0</v>
      </c>
      <c r="I58" s="186" t="s">
        <v>1159</v>
      </c>
      <c r="J58" s="188">
        <v>0</v>
      </c>
      <c r="K58" s="188">
        <v>0</v>
      </c>
      <c r="L58" s="188">
        <v>999.22799999999995</v>
      </c>
      <c r="M58" s="188">
        <v>999.22799999999995</v>
      </c>
      <c r="N58" s="188">
        <v>0</v>
      </c>
      <c r="O58" s="188">
        <v>0</v>
      </c>
      <c r="P58" s="193"/>
      <c r="Q58" s="202" t="s">
        <v>1927</v>
      </c>
      <c r="R58" s="205">
        <v>0</v>
      </c>
      <c r="S58" s="205">
        <v>0</v>
      </c>
      <c r="T58" s="205">
        <v>20.786999999999999</v>
      </c>
      <c r="U58" s="205">
        <v>20.786999999999999</v>
      </c>
      <c r="V58" s="205">
        <v>0</v>
      </c>
      <c r="W58" s="205">
        <v>0</v>
      </c>
    </row>
    <row r="59" spans="1:23" s="7" customFormat="1">
      <c r="A59" s="189" t="s">
        <v>766</v>
      </c>
      <c r="B59" s="190">
        <v>0</v>
      </c>
      <c r="C59" s="190">
        <v>0</v>
      </c>
      <c r="D59" s="190">
        <v>221.15700000000001</v>
      </c>
      <c r="E59" s="190">
        <v>221.15700000000001</v>
      </c>
      <c r="F59" s="190">
        <v>0</v>
      </c>
      <c r="G59" s="190">
        <v>0</v>
      </c>
      <c r="I59" s="186" t="s">
        <v>1160</v>
      </c>
      <c r="J59" s="188">
        <v>0</v>
      </c>
      <c r="K59" s="188">
        <v>0</v>
      </c>
      <c r="L59" s="188">
        <v>769.23</v>
      </c>
      <c r="M59" s="188">
        <v>769.23</v>
      </c>
      <c r="N59" s="188">
        <v>0</v>
      </c>
      <c r="O59" s="188">
        <v>0</v>
      </c>
      <c r="P59" s="193"/>
      <c r="Q59" s="202" t="s">
        <v>1928</v>
      </c>
      <c r="R59" s="205">
        <v>0</v>
      </c>
      <c r="S59" s="205">
        <v>0</v>
      </c>
      <c r="T59" s="205">
        <v>88</v>
      </c>
      <c r="U59" s="205">
        <v>58</v>
      </c>
      <c r="V59" s="205">
        <v>30</v>
      </c>
      <c r="W59" s="205">
        <v>0</v>
      </c>
    </row>
    <row r="60" spans="1:23" s="7" customFormat="1">
      <c r="A60" s="189" t="s">
        <v>767</v>
      </c>
      <c r="B60" s="190">
        <v>0</v>
      </c>
      <c r="C60" s="190">
        <v>0</v>
      </c>
      <c r="D60" s="190">
        <v>74.295000000000002</v>
      </c>
      <c r="E60" s="190">
        <v>74.295000000000002</v>
      </c>
      <c r="F60" s="190">
        <v>0</v>
      </c>
      <c r="G60" s="190">
        <v>0</v>
      </c>
      <c r="I60" s="186" t="s">
        <v>1161</v>
      </c>
      <c r="J60" s="188">
        <v>0</v>
      </c>
      <c r="K60" s="188">
        <v>0</v>
      </c>
      <c r="L60" s="188">
        <v>495.8</v>
      </c>
      <c r="M60" s="188">
        <v>0</v>
      </c>
      <c r="N60" s="188">
        <v>495.8</v>
      </c>
      <c r="O60" s="188">
        <v>0</v>
      </c>
      <c r="P60" s="193"/>
      <c r="Q60" s="202" t="s">
        <v>1929</v>
      </c>
      <c r="R60" s="205">
        <v>0</v>
      </c>
      <c r="S60" s="205">
        <v>0</v>
      </c>
      <c r="T60" s="205">
        <v>258.39999999999998</v>
      </c>
      <c r="U60" s="205">
        <v>258.39999999999998</v>
      </c>
      <c r="V60" s="205">
        <v>0</v>
      </c>
      <c r="W60" s="205">
        <v>0</v>
      </c>
    </row>
    <row r="61" spans="1:23" s="7" customFormat="1">
      <c r="A61" s="189" t="s">
        <v>768</v>
      </c>
      <c r="B61" s="190">
        <v>1962.7</v>
      </c>
      <c r="C61" s="190">
        <v>0</v>
      </c>
      <c r="D61" s="190">
        <v>0</v>
      </c>
      <c r="E61" s="190">
        <v>1962.7</v>
      </c>
      <c r="F61" s="190">
        <v>0</v>
      </c>
      <c r="G61" s="190">
        <v>0</v>
      </c>
      <c r="I61" s="186" t="s">
        <v>1162</v>
      </c>
      <c r="J61" s="188">
        <v>1122.78</v>
      </c>
      <c r="K61" s="188">
        <v>0</v>
      </c>
      <c r="L61" s="188">
        <v>3372.6</v>
      </c>
      <c r="M61" s="188">
        <v>4229.6099999999997</v>
      </c>
      <c r="N61" s="188">
        <v>265.77</v>
      </c>
      <c r="O61" s="188">
        <v>0</v>
      </c>
      <c r="P61" s="193"/>
      <c r="Q61" s="202" t="s">
        <v>1930</v>
      </c>
      <c r="R61" s="205">
        <v>0</v>
      </c>
      <c r="S61" s="205">
        <v>0</v>
      </c>
      <c r="T61" s="205">
        <v>425.59500000000003</v>
      </c>
      <c r="U61" s="205">
        <v>420.76499999999999</v>
      </c>
      <c r="V61" s="205">
        <v>4.83</v>
      </c>
      <c r="W61" s="205">
        <v>0</v>
      </c>
    </row>
    <row r="62" spans="1:23" s="7" customFormat="1">
      <c r="A62" s="189" t="s">
        <v>769</v>
      </c>
      <c r="B62" s="190">
        <v>0</v>
      </c>
      <c r="C62" s="190">
        <v>0</v>
      </c>
      <c r="D62" s="190">
        <v>128906.819</v>
      </c>
      <c r="E62" s="190">
        <v>0</v>
      </c>
      <c r="F62" s="190">
        <v>128906.819</v>
      </c>
      <c r="G62" s="190">
        <v>0</v>
      </c>
      <c r="I62" s="186" t="s">
        <v>1163</v>
      </c>
      <c r="J62" s="188">
        <v>0</v>
      </c>
      <c r="K62" s="188">
        <v>0</v>
      </c>
      <c r="L62" s="188">
        <v>45.2</v>
      </c>
      <c r="M62" s="188">
        <v>0</v>
      </c>
      <c r="N62" s="188">
        <v>45.2</v>
      </c>
      <c r="O62" s="188">
        <v>0</v>
      </c>
      <c r="P62" s="193"/>
      <c r="Q62" s="202" t="s">
        <v>1931</v>
      </c>
      <c r="R62" s="205">
        <v>0</v>
      </c>
      <c r="S62" s="205">
        <v>0</v>
      </c>
      <c r="T62" s="205">
        <v>2464</v>
      </c>
      <c r="U62" s="205">
        <v>2464</v>
      </c>
      <c r="V62" s="205">
        <v>0</v>
      </c>
      <c r="W62" s="205">
        <v>0</v>
      </c>
    </row>
    <row r="63" spans="1:23" s="7" customFormat="1">
      <c r="A63" s="189" t="s">
        <v>770</v>
      </c>
      <c r="B63" s="190">
        <v>0</v>
      </c>
      <c r="C63" s="190">
        <v>0</v>
      </c>
      <c r="D63" s="190">
        <v>6415.64</v>
      </c>
      <c r="E63" s="190">
        <v>6415.64</v>
      </c>
      <c r="F63" s="190">
        <v>0</v>
      </c>
      <c r="G63" s="190">
        <v>0</v>
      </c>
      <c r="I63" s="186" t="s">
        <v>1164</v>
      </c>
      <c r="J63" s="188">
        <v>0</v>
      </c>
      <c r="K63" s="188">
        <v>0</v>
      </c>
      <c r="L63" s="188">
        <v>6936.43</v>
      </c>
      <c r="M63" s="188">
        <v>6936.43</v>
      </c>
      <c r="N63" s="188">
        <v>0</v>
      </c>
      <c r="O63" s="188">
        <v>0</v>
      </c>
      <c r="P63" s="193"/>
      <c r="Q63" s="202" t="s">
        <v>1932</v>
      </c>
      <c r="R63" s="205">
        <v>0</v>
      </c>
      <c r="S63" s="205">
        <v>0</v>
      </c>
      <c r="T63" s="205">
        <v>320</v>
      </c>
      <c r="U63" s="205">
        <v>290</v>
      </c>
      <c r="V63" s="205">
        <v>30</v>
      </c>
      <c r="W63" s="205">
        <v>0</v>
      </c>
    </row>
    <row r="64" spans="1:23" s="7" customFormat="1">
      <c r="A64" s="189" t="s">
        <v>771</v>
      </c>
      <c r="B64" s="190">
        <v>0</v>
      </c>
      <c r="C64" s="190">
        <v>0</v>
      </c>
      <c r="D64" s="190">
        <v>59.4</v>
      </c>
      <c r="E64" s="190">
        <v>0</v>
      </c>
      <c r="F64" s="190">
        <v>59.4</v>
      </c>
      <c r="G64" s="190">
        <v>0</v>
      </c>
      <c r="I64" s="186" t="s">
        <v>1165</v>
      </c>
      <c r="J64" s="188">
        <v>0</v>
      </c>
      <c r="K64" s="188">
        <v>0</v>
      </c>
      <c r="L64" s="188">
        <v>4062.24</v>
      </c>
      <c r="M64" s="188">
        <v>4062.24</v>
      </c>
      <c r="N64" s="188">
        <v>0</v>
      </c>
      <c r="O64" s="188">
        <v>0</v>
      </c>
      <c r="P64" s="193"/>
      <c r="Q64" s="202" t="s">
        <v>1933</v>
      </c>
      <c r="R64" s="205">
        <v>0</v>
      </c>
      <c r="S64" s="205">
        <v>0</v>
      </c>
      <c r="T64" s="205">
        <v>950.4</v>
      </c>
      <c r="U64" s="205">
        <v>946.4</v>
      </c>
      <c r="V64" s="205">
        <v>4</v>
      </c>
      <c r="W64" s="205">
        <v>0</v>
      </c>
    </row>
    <row r="65" spans="1:23" s="7" customFormat="1">
      <c r="A65" s="189" t="s">
        <v>772</v>
      </c>
      <c r="B65" s="190">
        <v>21822.287800000002</v>
      </c>
      <c r="C65" s="190">
        <v>0</v>
      </c>
      <c r="D65" s="190">
        <v>0</v>
      </c>
      <c r="E65" s="190">
        <v>21822.287800000002</v>
      </c>
      <c r="F65" s="190">
        <v>0</v>
      </c>
      <c r="G65" s="190">
        <v>0</v>
      </c>
      <c r="I65" s="186" t="s">
        <v>1166</v>
      </c>
      <c r="J65" s="188">
        <v>0</v>
      </c>
      <c r="K65" s="188">
        <v>0</v>
      </c>
      <c r="L65" s="188">
        <v>701.15</v>
      </c>
      <c r="M65" s="188">
        <v>701.15</v>
      </c>
      <c r="N65" s="188">
        <v>0</v>
      </c>
      <c r="O65" s="188">
        <v>0</v>
      </c>
      <c r="P65" s="193"/>
      <c r="Q65" s="202" t="s">
        <v>853</v>
      </c>
      <c r="R65" s="205">
        <v>0</v>
      </c>
      <c r="S65" s="205">
        <v>0</v>
      </c>
      <c r="T65" s="205">
        <v>288.55200000000002</v>
      </c>
      <c r="U65" s="205">
        <v>288.55200000000002</v>
      </c>
      <c r="V65" s="205">
        <v>0</v>
      </c>
      <c r="W65" s="205">
        <v>0</v>
      </c>
    </row>
    <row r="66" spans="1:23" s="7" customFormat="1">
      <c r="A66" s="189" t="s">
        <v>773</v>
      </c>
      <c r="B66" s="190">
        <v>0</v>
      </c>
      <c r="C66" s="190">
        <v>0</v>
      </c>
      <c r="D66" s="190">
        <v>3741.1149999999998</v>
      </c>
      <c r="E66" s="190">
        <v>3741.1149999999998</v>
      </c>
      <c r="F66" s="190">
        <v>0</v>
      </c>
      <c r="G66" s="190">
        <v>0</v>
      </c>
      <c r="I66" s="186" t="s">
        <v>1167</v>
      </c>
      <c r="J66" s="188">
        <v>0</v>
      </c>
      <c r="K66" s="188">
        <v>0</v>
      </c>
      <c r="L66" s="188">
        <v>189595.20759999999</v>
      </c>
      <c r="M66" s="188">
        <v>189595.20759999999</v>
      </c>
      <c r="N66" s="188">
        <v>0</v>
      </c>
      <c r="O66" s="188">
        <v>0</v>
      </c>
      <c r="P66" s="193"/>
      <c r="Q66" s="202" t="s">
        <v>864</v>
      </c>
      <c r="R66" s="205">
        <v>0</v>
      </c>
      <c r="S66" s="205">
        <v>0</v>
      </c>
      <c r="T66" s="205">
        <v>2.5</v>
      </c>
      <c r="U66" s="205">
        <v>2.5</v>
      </c>
      <c r="V66" s="205">
        <v>0</v>
      </c>
      <c r="W66" s="205">
        <v>0</v>
      </c>
    </row>
    <row r="67" spans="1:23" s="7" customFormat="1">
      <c r="A67" s="189" t="s">
        <v>774</v>
      </c>
      <c r="B67" s="190">
        <v>1009.37784</v>
      </c>
      <c r="C67" s="190">
        <v>0</v>
      </c>
      <c r="D67" s="190">
        <v>5379.6606700000002</v>
      </c>
      <c r="E67" s="190">
        <v>3714.5496200000002</v>
      </c>
      <c r="F67" s="190">
        <v>2674.4888900000001</v>
      </c>
      <c r="G67" s="190">
        <v>0</v>
      </c>
      <c r="I67" s="186" t="s">
        <v>1168</v>
      </c>
      <c r="J67" s="188">
        <v>0</v>
      </c>
      <c r="K67" s="188">
        <v>0</v>
      </c>
      <c r="L67" s="188">
        <v>32416.11896</v>
      </c>
      <c r="M67" s="188">
        <v>32416.11896</v>
      </c>
      <c r="N67" s="188">
        <v>0</v>
      </c>
      <c r="O67" s="188">
        <v>0</v>
      </c>
      <c r="P67" s="193"/>
      <c r="Q67" s="202" t="s">
        <v>1934</v>
      </c>
      <c r="R67" s="205">
        <v>0</v>
      </c>
      <c r="S67" s="205">
        <v>0</v>
      </c>
      <c r="T67" s="205">
        <v>182</v>
      </c>
      <c r="U67" s="205">
        <v>182</v>
      </c>
      <c r="V67" s="205">
        <v>0</v>
      </c>
      <c r="W67" s="205">
        <v>0</v>
      </c>
    </row>
    <row r="68" spans="1:23" s="7" customFormat="1">
      <c r="A68" s="189" t="s">
        <v>775</v>
      </c>
      <c r="B68" s="190">
        <v>0</v>
      </c>
      <c r="C68" s="190">
        <v>0</v>
      </c>
      <c r="D68" s="190">
        <v>532.51599999999996</v>
      </c>
      <c r="E68" s="190">
        <v>532.51599999999996</v>
      </c>
      <c r="F68" s="190">
        <v>0</v>
      </c>
      <c r="G68" s="190">
        <v>0</v>
      </c>
      <c r="I68" s="186" t="s">
        <v>1169</v>
      </c>
      <c r="J68" s="188">
        <v>0</v>
      </c>
      <c r="K68" s="188">
        <v>0</v>
      </c>
      <c r="L68" s="188">
        <v>357</v>
      </c>
      <c r="M68" s="188">
        <v>40</v>
      </c>
      <c r="N68" s="188">
        <v>317</v>
      </c>
      <c r="O68" s="188">
        <v>0</v>
      </c>
      <c r="P68" s="193"/>
      <c r="Q68" s="202" t="s">
        <v>1326</v>
      </c>
      <c r="R68" s="205">
        <v>0</v>
      </c>
      <c r="S68" s="205">
        <v>0</v>
      </c>
      <c r="T68" s="205">
        <v>84</v>
      </c>
      <c r="U68" s="205">
        <v>84</v>
      </c>
      <c r="V68" s="205">
        <v>0</v>
      </c>
      <c r="W68" s="205">
        <v>0</v>
      </c>
    </row>
    <row r="69" spans="1:23" s="7" customFormat="1">
      <c r="A69" s="189" t="s">
        <v>776</v>
      </c>
      <c r="B69" s="190">
        <v>0</v>
      </c>
      <c r="C69" s="190">
        <v>0</v>
      </c>
      <c r="D69" s="190">
        <v>567.95000000000005</v>
      </c>
      <c r="E69" s="190">
        <v>567.95000000000005</v>
      </c>
      <c r="F69" s="190">
        <v>0</v>
      </c>
      <c r="G69" s="190">
        <v>0</v>
      </c>
      <c r="I69" s="186" t="s">
        <v>1170</v>
      </c>
      <c r="J69" s="188">
        <v>0</v>
      </c>
      <c r="K69" s="188">
        <v>0</v>
      </c>
      <c r="L69" s="188">
        <v>46140.164119999994</v>
      </c>
      <c r="M69" s="188">
        <v>46140.164119999994</v>
      </c>
      <c r="N69" s="188">
        <v>0</v>
      </c>
      <c r="O69" s="188">
        <v>0</v>
      </c>
      <c r="P69" s="193"/>
      <c r="Q69" s="202" t="s">
        <v>1329</v>
      </c>
      <c r="R69" s="205">
        <v>0</v>
      </c>
      <c r="S69" s="205">
        <v>0</v>
      </c>
      <c r="T69" s="205">
        <v>132</v>
      </c>
      <c r="U69" s="205">
        <v>132</v>
      </c>
      <c r="V69" s="205">
        <v>0</v>
      </c>
      <c r="W69" s="205">
        <v>0</v>
      </c>
    </row>
    <row r="70" spans="1:23" s="7" customFormat="1">
      <c r="A70" s="189" t="s">
        <v>777</v>
      </c>
      <c r="B70" s="190">
        <v>697.57643999999993</v>
      </c>
      <c r="C70" s="190">
        <v>0</v>
      </c>
      <c r="D70" s="190">
        <v>866.3</v>
      </c>
      <c r="E70" s="190">
        <v>740.29807999999991</v>
      </c>
      <c r="F70" s="190">
        <v>823.57835999999998</v>
      </c>
      <c r="G70" s="190">
        <v>0</v>
      </c>
      <c r="I70" s="186" t="s">
        <v>1171</v>
      </c>
      <c r="J70" s="188">
        <v>0</v>
      </c>
      <c r="K70" s="188">
        <v>0</v>
      </c>
      <c r="L70" s="188">
        <v>90</v>
      </c>
      <c r="M70" s="188">
        <v>90</v>
      </c>
      <c r="N70" s="188">
        <v>0</v>
      </c>
      <c r="O70" s="188">
        <v>0</v>
      </c>
      <c r="P70" s="193"/>
      <c r="Q70" s="202" t="s">
        <v>1935</v>
      </c>
      <c r="R70" s="205">
        <v>0</v>
      </c>
      <c r="S70" s="205">
        <v>0</v>
      </c>
      <c r="T70" s="205">
        <v>73</v>
      </c>
      <c r="U70" s="205">
        <v>73</v>
      </c>
      <c r="V70" s="205">
        <v>0</v>
      </c>
      <c r="W70" s="205">
        <v>0</v>
      </c>
    </row>
    <row r="71" spans="1:23" s="7" customFormat="1">
      <c r="A71" s="189" t="s">
        <v>778</v>
      </c>
      <c r="B71" s="190">
        <v>0</v>
      </c>
      <c r="C71" s="190">
        <v>0</v>
      </c>
      <c r="D71" s="190">
        <v>33</v>
      </c>
      <c r="E71" s="190">
        <v>33</v>
      </c>
      <c r="F71" s="190">
        <v>0</v>
      </c>
      <c r="G71" s="190">
        <v>0</v>
      </c>
      <c r="I71" s="186" t="s">
        <v>1172</v>
      </c>
      <c r="J71" s="188">
        <v>0</v>
      </c>
      <c r="K71" s="188">
        <v>0</v>
      </c>
      <c r="L71" s="188">
        <v>1450</v>
      </c>
      <c r="M71" s="188">
        <v>0</v>
      </c>
      <c r="N71" s="197">
        <v>1450</v>
      </c>
      <c r="O71" s="188">
        <v>0</v>
      </c>
      <c r="P71" s="193"/>
      <c r="Q71" s="202" t="s">
        <v>1936</v>
      </c>
      <c r="R71" s="205">
        <v>0</v>
      </c>
      <c r="S71" s="205">
        <v>0</v>
      </c>
      <c r="T71" s="205">
        <v>682.85199999999998</v>
      </c>
      <c r="U71" s="205">
        <v>682.85199999999998</v>
      </c>
      <c r="V71" s="205">
        <v>0</v>
      </c>
      <c r="W71" s="205">
        <v>0</v>
      </c>
    </row>
    <row r="72" spans="1:23" s="7" customFormat="1">
      <c r="A72" s="189" t="s">
        <v>779</v>
      </c>
      <c r="B72" s="190">
        <v>0</v>
      </c>
      <c r="C72" s="190">
        <v>0</v>
      </c>
      <c r="D72" s="190">
        <v>14</v>
      </c>
      <c r="E72" s="190">
        <v>14</v>
      </c>
      <c r="F72" s="190">
        <v>0</v>
      </c>
      <c r="G72" s="190">
        <v>0</v>
      </c>
      <c r="I72" s="186" t="s">
        <v>1173</v>
      </c>
      <c r="J72" s="188">
        <v>0</v>
      </c>
      <c r="K72" s="188">
        <v>0</v>
      </c>
      <c r="L72" s="188">
        <v>937.73400000000004</v>
      </c>
      <c r="M72" s="188">
        <v>937.73400000000004</v>
      </c>
      <c r="N72" s="188">
        <v>0</v>
      </c>
      <c r="O72" s="188">
        <v>0</v>
      </c>
      <c r="P72" s="193"/>
      <c r="Q72" s="202" t="s">
        <v>1351</v>
      </c>
      <c r="R72" s="205">
        <v>0</v>
      </c>
      <c r="S72" s="205">
        <v>0</v>
      </c>
      <c r="T72" s="205">
        <v>523.29999999999995</v>
      </c>
      <c r="U72" s="205">
        <v>357.3</v>
      </c>
      <c r="V72" s="205">
        <v>166</v>
      </c>
      <c r="W72" s="205">
        <v>0</v>
      </c>
    </row>
    <row r="73" spans="1:23" s="7" customFormat="1">
      <c r="A73" s="189" t="s">
        <v>780</v>
      </c>
      <c r="B73" s="190">
        <v>0</v>
      </c>
      <c r="C73" s="190">
        <v>0</v>
      </c>
      <c r="D73" s="190">
        <v>3845.15</v>
      </c>
      <c r="E73" s="190">
        <v>3845.15</v>
      </c>
      <c r="F73" s="190">
        <v>0</v>
      </c>
      <c r="G73" s="190">
        <v>0</v>
      </c>
      <c r="I73" s="186" t="s">
        <v>1174</v>
      </c>
      <c r="J73" s="188">
        <v>0</v>
      </c>
      <c r="K73" s="188">
        <v>0</v>
      </c>
      <c r="L73" s="188">
        <v>23.588999999999999</v>
      </c>
      <c r="M73" s="188">
        <v>23.588999999999999</v>
      </c>
      <c r="N73" s="188">
        <v>0</v>
      </c>
      <c r="O73" s="188">
        <v>0</v>
      </c>
      <c r="P73" s="193"/>
      <c r="Q73" s="202" t="s">
        <v>1937</v>
      </c>
      <c r="R73" s="205">
        <v>0</v>
      </c>
      <c r="S73" s="205">
        <v>0</v>
      </c>
      <c r="T73" s="205">
        <v>100</v>
      </c>
      <c r="U73" s="205">
        <v>100</v>
      </c>
      <c r="V73" s="205">
        <v>0</v>
      </c>
      <c r="W73" s="205">
        <v>0</v>
      </c>
    </row>
    <row r="74" spans="1:23" s="7" customFormat="1">
      <c r="A74" s="189" t="s">
        <v>781</v>
      </c>
      <c r="B74" s="190">
        <v>0</v>
      </c>
      <c r="C74" s="190">
        <v>0</v>
      </c>
      <c r="D74" s="190">
        <v>13696.4</v>
      </c>
      <c r="E74" s="190">
        <v>13696.4</v>
      </c>
      <c r="F74" s="190">
        <v>0</v>
      </c>
      <c r="G74" s="190">
        <v>0</v>
      </c>
      <c r="I74" s="186" t="s">
        <v>1175</v>
      </c>
      <c r="J74" s="188">
        <v>687.4</v>
      </c>
      <c r="K74" s="188">
        <v>0</v>
      </c>
      <c r="L74" s="188">
        <v>579.94200000000001</v>
      </c>
      <c r="M74" s="188">
        <v>1267.3420000000001</v>
      </c>
      <c r="N74" s="188">
        <v>0</v>
      </c>
      <c r="O74" s="188">
        <v>0</v>
      </c>
      <c r="P74" s="193"/>
      <c r="Q74" s="202" t="s">
        <v>1938</v>
      </c>
      <c r="R74" s="205">
        <v>0</v>
      </c>
      <c r="S74" s="205">
        <v>0</v>
      </c>
      <c r="T74" s="205">
        <v>215</v>
      </c>
      <c r="U74" s="205">
        <v>215</v>
      </c>
      <c r="V74" s="205">
        <v>0</v>
      </c>
      <c r="W74" s="205">
        <v>0</v>
      </c>
    </row>
    <row r="75" spans="1:23" s="7" customFormat="1">
      <c r="A75" s="189" t="s">
        <v>782</v>
      </c>
      <c r="B75" s="190">
        <v>0</v>
      </c>
      <c r="C75" s="190">
        <v>0</v>
      </c>
      <c r="D75" s="190">
        <v>122</v>
      </c>
      <c r="E75" s="190">
        <v>122</v>
      </c>
      <c r="F75" s="190">
        <v>0</v>
      </c>
      <c r="G75" s="190">
        <v>0</v>
      </c>
      <c r="I75" s="186" t="s">
        <v>1176</v>
      </c>
      <c r="J75" s="188">
        <v>50.46</v>
      </c>
      <c r="K75" s="188">
        <v>0</v>
      </c>
      <c r="L75" s="188">
        <v>0</v>
      </c>
      <c r="M75" s="188">
        <v>0</v>
      </c>
      <c r="N75" s="188">
        <v>50.46</v>
      </c>
      <c r="O75" s="188">
        <v>0</v>
      </c>
      <c r="P75" s="193"/>
      <c r="Q75" s="202" t="s">
        <v>1354</v>
      </c>
      <c r="R75" s="205">
        <v>0</v>
      </c>
      <c r="S75" s="205">
        <v>0</v>
      </c>
      <c r="T75" s="205">
        <v>134.923</v>
      </c>
      <c r="U75" s="205">
        <v>134.923</v>
      </c>
      <c r="V75" s="205">
        <v>0</v>
      </c>
      <c r="W75" s="205">
        <v>0</v>
      </c>
    </row>
    <row r="76" spans="1:23" s="7" customFormat="1">
      <c r="A76" s="189" t="s">
        <v>783</v>
      </c>
      <c r="B76" s="190">
        <v>0</v>
      </c>
      <c r="C76" s="190">
        <v>0</v>
      </c>
      <c r="D76" s="190">
        <v>1527.248</v>
      </c>
      <c r="E76" s="190">
        <v>1527.248</v>
      </c>
      <c r="F76" s="190">
        <v>0</v>
      </c>
      <c r="G76" s="190">
        <v>0</v>
      </c>
      <c r="I76" s="186" t="s">
        <v>1177</v>
      </c>
      <c r="J76" s="188">
        <v>0</v>
      </c>
      <c r="K76" s="188">
        <v>0</v>
      </c>
      <c r="L76" s="188">
        <v>1344</v>
      </c>
      <c r="M76" s="188">
        <v>1344</v>
      </c>
      <c r="N76" s="188">
        <v>0</v>
      </c>
      <c r="O76" s="188">
        <v>0</v>
      </c>
      <c r="P76" s="193"/>
      <c r="Q76" s="202" t="s">
        <v>1939</v>
      </c>
      <c r="R76" s="205">
        <v>0</v>
      </c>
      <c r="S76" s="205">
        <v>0</v>
      </c>
      <c r="T76" s="205">
        <v>15</v>
      </c>
      <c r="U76" s="205">
        <v>15</v>
      </c>
      <c r="V76" s="205">
        <v>0</v>
      </c>
      <c r="W76" s="205">
        <v>0</v>
      </c>
    </row>
    <row r="77" spans="1:23" s="7" customFormat="1">
      <c r="A77" s="189" t="s">
        <v>784</v>
      </c>
      <c r="B77" s="190">
        <v>0</v>
      </c>
      <c r="C77" s="190">
        <v>0</v>
      </c>
      <c r="D77" s="190">
        <v>25704.288199999999</v>
      </c>
      <c r="E77" s="190">
        <v>25704.288199999999</v>
      </c>
      <c r="F77" s="190">
        <v>0</v>
      </c>
      <c r="G77" s="190">
        <v>0</v>
      </c>
      <c r="I77" s="186" t="s">
        <v>1178</v>
      </c>
      <c r="J77" s="188">
        <v>0</v>
      </c>
      <c r="K77" s="188">
        <v>0</v>
      </c>
      <c r="L77" s="188">
        <v>484413.68498000002</v>
      </c>
      <c r="M77" s="188">
        <v>484413.68498000002</v>
      </c>
      <c r="N77" s="188">
        <v>0</v>
      </c>
      <c r="O77" s="188">
        <v>0</v>
      </c>
      <c r="P77" s="193"/>
      <c r="Q77" s="202" t="s">
        <v>1940</v>
      </c>
      <c r="R77" s="205">
        <v>0</v>
      </c>
      <c r="S77" s="205">
        <v>0</v>
      </c>
      <c r="T77" s="205">
        <v>1.7</v>
      </c>
      <c r="U77" s="205">
        <v>1.7</v>
      </c>
      <c r="V77" s="205">
        <v>0</v>
      </c>
      <c r="W77" s="205">
        <v>0</v>
      </c>
    </row>
    <row r="78" spans="1:23" s="7" customFormat="1">
      <c r="A78" s="189" t="s">
        <v>785</v>
      </c>
      <c r="B78" s="190">
        <v>0</v>
      </c>
      <c r="C78" s="190">
        <v>0</v>
      </c>
      <c r="D78" s="190">
        <v>185.63900000000001</v>
      </c>
      <c r="E78" s="190">
        <v>185.63900000000001</v>
      </c>
      <c r="F78" s="190">
        <v>0</v>
      </c>
      <c r="G78" s="190">
        <v>0</v>
      </c>
      <c r="I78" s="186" t="s">
        <v>773</v>
      </c>
      <c r="J78" s="188">
        <v>706.60840000000007</v>
      </c>
      <c r="K78" s="188">
        <v>0</v>
      </c>
      <c r="L78" s="188">
        <v>18323.669850000002</v>
      </c>
      <c r="M78" s="188">
        <v>18499.669850000002</v>
      </c>
      <c r="N78" s="188">
        <v>530.60840000000007</v>
      </c>
      <c r="O78" s="188">
        <v>0</v>
      </c>
      <c r="P78" s="193"/>
      <c r="Q78" s="202" t="s">
        <v>1941</v>
      </c>
      <c r="R78" s="205">
        <v>0</v>
      </c>
      <c r="S78" s="205">
        <v>0</v>
      </c>
      <c r="T78" s="205">
        <v>147.6</v>
      </c>
      <c r="U78" s="205">
        <v>147.6</v>
      </c>
      <c r="V78" s="205">
        <v>0</v>
      </c>
      <c r="W78" s="205">
        <v>0</v>
      </c>
    </row>
    <row r="79" spans="1:23" s="7" customFormat="1">
      <c r="A79" s="189" t="s">
        <v>786</v>
      </c>
      <c r="B79" s="190">
        <v>0</v>
      </c>
      <c r="C79" s="190">
        <v>0</v>
      </c>
      <c r="D79" s="190">
        <v>118.8</v>
      </c>
      <c r="E79" s="190">
        <v>118.8</v>
      </c>
      <c r="F79" s="190">
        <v>0</v>
      </c>
      <c r="G79" s="190">
        <v>0</v>
      </c>
      <c r="I79" s="186" t="s">
        <v>1179</v>
      </c>
      <c r="J79" s="188">
        <v>1218.1650900000002</v>
      </c>
      <c r="K79" s="188">
        <v>0</v>
      </c>
      <c r="L79" s="188">
        <v>0</v>
      </c>
      <c r="M79" s="188">
        <v>906.28761999999995</v>
      </c>
      <c r="N79" s="188">
        <v>311.87746999999996</v>
      </c>
      <c r="O79" s="188">
        <v>0</v>
      </c>
      <c r="P79" s="193"/>
      <c r="Q79" s="202" t="s">
        <v>1942</v>
      </c>
      <c r="R79" s="205">
        <v>0</v>
      </c>
      <c r="S79" s="205">
        <v>0</v>
      </c>
      <c r="T79" s="205">
        <v>315</v>
      </c>
      <c r="U79" s="205">
        <v>315</v>
      </c>
      <c r="V79" s="205">
        <v>0</v>
      </c>
      <c r="W79" s="205">
        <v>0</v>
      </c>
    </row>
    <row r="80" spans="1:23" s="7" customFormat="1">
      <c r="A80" s="189" t="s">
        <v>787</v>
      </c>
      <c r="B80" s="190">
        <v>0</v>
      </c>
      <c r="C80" s="190">
        <v>0</v>
      </c>
      <c r="D80" s="190">
        <v>560.4</v>
      </c>
      <c r="E80" s="190">
        <v>560.4</v>
      </c>
      <c r="F80" s="190">
        <v>0</v>
      </c>
      <c r="G80" s="190">
        <v>0</v>
      </c>
      <c r="I80" s="186" t="s">
        <v>1180</v>
      </c>
      <c r="J80" s="188">
        <v>169.5</v>
      </c>
      <c r="K80" s="188">
        <v>0</v>
      </c>
      <c r="L80" s="188">
        <v>0</v>
      </c>
      <c r="M80" s="188">
        <v>0</v>
      </c>
      <c r="N80" s="188">
        <v>169.5</v>
      </c>
      <c r="O80" s="188">
        <v>0</v>
      </c>
      <c r="P80" s="193"/>
      <c r="Q80" s="202" t="s">
        <v>1943</v>
      </c>
      <c r="R80" s="205">
        <v>0</v>
      </c>
      <c r="S80" s="205">
        <v>0</v>
      </c>
      <c r="T80" s="205">
        <v>361.8</v>
      </c>
      <c r="U80" s="205">
        <v>361.3</v>
      </c>
      <c r="V80" s="205">
        <v>0.5</v>
      </c>
      <c r="W80" s="205">
        <v>0</v>
      </c>
    </row>
    <row r="81" spans="1:23" s="7" customFormat="1">
      <c r="A81" s="189" t="s">
        <v>788</v>
      </c>
      <c r="B81" s="190">
        <v>0</v>
      </c>
      <c r="C81" s="190">
        <v>0</v>
      </c>
      <c r="D81" s="190">
        <v>3470.5</v>
      </c>
      <c r="E81" s="190">
        <v>3470.5</v>
      </c>
      <c r="F81" s="190">
        <v>0</v>
      </c>
      <c r="G81" s="190">
        <v>0</v>
      </c>
      <c r="I81" s="186" t="s">
        <v>1181</v>
      </c>
      <c r="J81" s="188">
        <v>0</v>
      </c>
      <c r="K81" s="188">
        <v>0</v>
      </c>
      <c r="L81" s="188">
        <v>51171.981500000002</v>
      </c>
      <c r="M81" s="188">
        <v>51171.981500000002</v>
      </c>
      <c r="N81" s="188">
        <v>0</v>
      </c>
      <c r="O81" s="188">
        <v>0</v>
      </c>
      <c r="P81" s="193"/>
      <c r="Q81" s="202" t="s">
        <v>1944</v>
      </c>
      <c r="R81" s="205">
        <v>0</v>
      </c>
      <c r="S81" s="205">
        <v>0</v>
      </c>
      <c r="T81" s="205">
        <v>37.200000000000003</v>
      </c>
      <c r="U81" s="205">
        <v>37.200000000000003</v>
      </c>
      <c r="V81" s="205">
        <v>0</v>
      </c>
      <c r="W81" s="205">
        <v>0</v>
      </c>
    </row>
    <row r="82" spans="1:23" s="7" customFormat="1">
      <c r="A82" s="189" t="s">
        <v>789</v>
      </c>
      <c r="B82" s="190">
        <v>0</v>
      </c>
      <c r="C82" s="190">
        <v>0</v>
      </c>
      <c r="D82" s="190">
        <v>5068.7359999999999</v>
      </c>
      <c r="E82" s="190">
        <v>4965.7359999999999</v>
      </c>
      <c r="F82" s="190">
        <v>103</v>
      </c>
      <c r="G82" s="190">
        <v>0</v>
      </c>
      <c r="I82" s="186" t="s">
        <v>1182</v>
      </c>
      <c r="J82" s="188">
        <v>0</v>
      </c>
      <c r="K82" s="188">
        <v>0</v>
      </c>
      <c r="L82" s="188">
        <v>110</v>
      </c>
      <c r="M82" s="188">
        <v>110</v>
      </c>
      <c r="N82" s="188">
        <v>0</v>
      </c>
      <c r="O82" s="188">
        <v>0</v>
      </c>
      <c r="P82" s="193"/>
      <c r="Q82" s="202" t="s">
        <v>1945</v>
      </c>
      <c r="R82" s="205">
        <v>0</v>
      </c>
      <c r="S82" s="205">
        <v>0</v>
      </c>
      <c r="T82" s="205">
        <v>209.71</v>
      </c>
      <c r="U82" s="205">
        <v>209.71</v>
      </c>
      <c r="V82" s="205">
        <v>0</v>
      </c>
      <c r="W82" s="205">
        <v>0</v>
      </c>
    </row>
    <row r="83" spans="1:23" s="7" customFormat="1">
      <c r="A83" s="189" t="s">
        <v>790</v>
      </c>
      <c r="B83" s="190">
        <v>0</v>
      </c>
      <c r="C83" s="190">
        <v>0</v>
      </c>
      <c r="D83" s="190">
        <v>388.83449999999999</v>
      </c>
      <c r="E83" s="190">
        <v>388.83449999999999</v>
      </c>
      <c r="F83" s="190">
        <v>0</v>
      </c>
      <c r="G83" s="190">
        <v>0</v>
      </c>
      <c r="I83" s="186" t="s">
        <v>1183</v>
      </c>
      <c r="J83" s="188">
        <v>201.18822</v>
      </c>
      <c r="K83" s="188">
        <v>0</v>
      </c>
      <c r="L83" s="188">
        <v>607.5</v>
      </c>
      <c r="M83" s="188">
        <v>577.33891000000006</v>
      </c>
      <c r="N83" s="188">
        <v>231.34931</v>
      </c>
      <c r="O83" s="188">
        <v>0</v>
      </c>
      <c r="P83" s="193"/>
      <c r="Q83" s="202" t="s">
        <v>1946</v>
      </c>
      <c r="R83" s="205">
        <v>0</v>
      </c>
      <c r="S83" s="205">
        <v>0</v>
      </c>
      <c r="T83" s="205">
        <v>14.4</v>
      </c>
      <c r="U83" s="205">
        <v>14.4</v>
      </c>
      <c r="V83" s="205">
        <v>0</v>
      </c>
      <c r="W83" s="205">
        <v>0</v>
      </c>
    </row>
    <row r="84" spans="1:23" s="7" customFormat="1">
      <c r="A84" s="189" t="s">
        <v>791</v>
      </c>
      <c r="B84" s="190">
        <v>0</v>
      </c>
      <c r="C84" s="190">
        <v>0</v>
      </c>
      <c r="D84" s="190">
        <v>497.5</v>
      </c>
      <c r="E84" s="190">
        <v>227.5</v>
      </c>
      <c r="F84" s="190">
        <v>270</v>
      </c>
      <c r="G84" s="190">
        <v>0</v>
      </c>
      <c r="I84" s="186" t="s">
        <v>1184</v>
      </c>
      <c r="J84" s="188">
        <v>0</v>
      </c>
      <c r="K84" s="188">
        <v>0</v>
      </c>
      <c r="L84" s="188">
        <v>111301.5992</v>
      </c>
      <c r="M84" s="188">
        <v>111287.61199999999</v>
      </c>
      <c r="N84" s="188">
        <v>13.987200000000001</v>
      </c>
      <c r="O84" s="188">
        <v>0</v>
      </c>
      <c r="P84" s="193"/>
      <c r="Q84" s="202" t="s">
        <v>1947</v>
      </c>
      <c r="R84" s="205">
        <v>0</v>
      </c>
      <c r="S84" s="205">
        <v>0</v>
      </c>
      <c r="T84" s="205">
        <v>383.04</v>
      </c>
      <c r="U84" s="205">
        <v>383.04</v>
      </c>
      <c r="V84" s="205">
        <v>0</v>
      </c>
      <c r="W84" s="205">
        <v>0</v>
      </c>
    </row>
    <row r="85" spans="1:23" s="7" customFormat="1">
      <c r="A85" s="189" t="s">
        <v>792</v>
      </c>
      <c r="B85" s="190">
        <v>0</v>
      </c>
      <c r="C85" s="190">
        <v>0</v>
      </c>
      <c r="D85" s="190">
        <v>2127.5</v>
      </c>
      <c r="E85" s="190">
        <v>2127.5</v>
      </c>
      <c r="F85" s="190">
        <v>0</v>
      </c>
      <c r="G85" s="190">
        <v>0</v>
      </c>
      <c r="I85" s="186" t="s">
        <v>1185</v>
      </c>
      <c r="J85" s="188">
        <v>0</v>
      </c>
      <c r="K85" s="188">
        <v>0</v>
      </c>
      <c r="L85" s="188">
        <v>398</v>
      </c>
      <c r="M85" s="188">
        <v>398</v>
      </c>
      <c r="N85" s="188">
        <v>0</v>
      </c>
      <c r="O85" s="188">
        <v>0</v>
      </c>
      <c r="P85" s="193"/>
      <c r="Q85" s="202" t="s">
        <v>1948</v>
      </c>
      <c r="R85" s="205">
        <v>0</v>
      </c>
      <c r="S85" s="205">
        <v>0</v>
      </c>
      <c r="T85" s="205">
        <v>74.5</v>
      </c>
      <c r="U85" s="205">
        <v>74.5</v>
      </c>
      <c r="V85" s="205">
        <v>0</v>
      </c>
      <c r="W85" s="205">
        <v>0</v>
      </c>
    </row>
    <row r="86" spans="1:23" s="7" customFormat="1">
      <c r="A86" s="189" t="s">
        <v>793</v>
      </c>
      <c r="B86" s="190">
        <v>0</v>
      </c>
      <c r="C86" s="190">
        <v>0</v>
      </c>
      <c r="D86" s="190">
        <v>130</v>
      </c>
      <c r="E86" s="190">
        <v>130</v>
      </c>
      <c r="F86" s="190">
        <v>0</v>
      </c>
      <c r="G86" s="190">
        <v>0</v>
      </c>
      <c r="I86" s="186" t="s">
        <v>1186</v>
      </c>
      <c r="J86" s="188">
        <v>0</v>
      </c>
      <c r="K86" s="188">
        <v>0</v>
      </c>
      <c r="L86" s="188">
        <v>8907.0943499999994</v>
      </c>
      <c r="M86" s="188">
        <v>8907.0943499999994</v>
      </c>
      <c r="N86" s="188">
        <v>0</v>
      </c>
      <c r="O86" s="188">
        <v>0</v>
      </c>
      <c r="P86" s="193"/>
      <c r="Q86" s="202" t="s">
        <v>1949</v>
      </c>
      <c r="R86" s="205">
        <v>0</v>
      </c>
      <c r="S86" s="205">
        <v>0</v>
      </c>
      <c r="T86" s="205">
        <v>1506.42</v>
      </c>
      <c r="U86" s="205">
        <v>1506.42</v>
      </c>
      <c r="V86" s="205">
        <v>0</v>
      </c>
      <c r="W86" s="205">
        <v>0</v>
      </c>
    </row>
    <row r="87" spans="1:23" s="7" customFormat="1">
      <c r="A87" s="189" t="s">
        <v>794</v>
      </c>
      <c r="B87" s="190">
        <v>0</v>
      </c>
      <c r="C87" s="190">
        <v>0</v>
      </c>
      <c r="D87" s="190">
        <v>289.69499999999999</v>
      </c>
      <c r="E87" s="190">
        <v>289.69499999999999</v>
      </c>
      <c r="F87" s="190">
        <v>0</v>
      </c>
      <c r="G87" s="190">
        <v>0</v>
      </c>
      <c r="I87" s="186" t="s">
        <v>1187</v>
      </c>
      <c r="J87" s="188">
        <v>0</v>
      </c>
      <c r="K87" s="188">
        <v>0</v>
      </c>
      <c r="L87" s="188">
        <v>439.33800000000002</v>
      </c>
      <c r="M87" s="188">
        <v>439.33800000000002</v>
      </c>
      <c r="N87" s="188">
        <v>0</v>
      </c>
      <c r="O87" s="188">
        <v>0</v>
      </c>
      <c r="P87" s="193"/>
      <c r="Q87" s="202" t="s">
        <v>1950</v>
      </c>
      <c r="R87" s="205">
        <v>0</v>
      </c>
      <c r="S87" s="205">
        <v>0</v>
      </c>
      <c r="T87" s="205">
        <v>190</v>
      </c>
      <c r="U87" s="205">
        <v>190</v>
      </c>
      <c r="V87" s="205">
        <v>0</v>
      </c>
      <c r="W87" s="205">
        <v>0</v>
      </c>
    </row>
    <row r="88" spans="1:23" s="7" customFormat="1">
      <c r="A88" s="189" t="s">
        <v>795</v>
      </c>
      <c r="B88" s="190">
        <v>0</v>
      </c>
      <c r="C88" s="190">
        <v>0</v>
      </c>
      <c r="D88" s="190">
        <v>15039.15</v>
      </c>
      <c r="E88" s="190">
        <v>14640.85</v>
      </c>
      <c r="F88" s="190">
        <v>398.3</v>
      </c>
      <c r="G88" s="190">
        <v>0</v>
      </c>
      <c r="I88" s="186" t="s">
        <v>1188</v>
      </c>
      <c r="J88" s="188">
        <v>0</v>
      </c>
      <c r="K88" s="188">
        <v>0</v>
      </c>
      <c r="L88" s="188">
        <v>2136.6410000000001</v>
      </c>
      <c r="M88" s="188">
        <v>2136.6410000000001</v>
      </c>
      <c r="N88" s="188">
        <v>0</v>
      </c>
      <c r="O88" s="188">
        <v>0</v>
      </c>
      <c r="P88" s="193"/>
      <c r="Q88" s="202" t="s">
        <v>896</v>
      </c>
      <c r="R88" s="205">
        <v>0</v>
      </c>
      <c r="S88" s="205">
        <v>0</v>
      </c>
      <c r="T88" s="205">
        <v>1.5</v>
      </c>
      <c r="U88" s="205">
        <v>1.5</v>
      </c>
      <c r="V88" s="205">
        <v>0</v>
      </c>
      <c r="W88" s="205">
        <v>0</v>
      </c>
    </row>
    <row r="89" spans="1:23" s="7" customFormat="1">
      <c r="A89" s="189" t="s">
        <v>796</v>
      </c>
      <c r="B89" s="190">
        <v>0</v>
      </c>
      <c r="C89" s="190">
        <v>0</v>
      </c>
      <c r="D89" s="190">
        <v>62.6</v>
      </c>
      <c r="E89" s="190">
        <v>62.6</v>
      </c>
      <c r="F89" s="190">
        <v>0</v>
      </c>
      <c r="G89" s="190">
        <v>0</v>
      </c>
      <c r="I89" s="186" t="s">
        <v>1189</v>
      </c>
      <c r="J89" s="188">
        <v>0</v>
      </c>
      <c r="K89" s="188">
        <v>0</v>
      </c>
      <c r="L89" s="188">
        <v>2244.7530000000002</v>
      </c>
      <c r="M89" s="188">
        <v>2244.7530000000002</v>
      </c>
      <c r="N89" s="188">
        <v>0</v>
      </c>
      <c r="O89" s="188">
        <v>0</v>
      </c>
      <c r="P89" s="193"/>
      <c r="Q89" s="202" t="s">
        <v>1951</v>
      </c>
      <c r="R89" s="205">
        <v>0</v>
      </c>
      <c r="S89" s="205">
        <v>0</v>
      </c>
      <c r="T89" s="205">
        <v>190</v>
      </c>
      <c r="U89" s="205">
        <v>190</v>
      </c>
      <c r="V89" s="205">
        <v>0</v>
      </c>
      <c r="W89" s="205">
        <v>0</v>
      </c>
    </row>
    <row r="90" spans="1:23" s="7" customFormat="1">
      <c r="A90" s="189" t="s">
        <v>797</v>
      </c>
      <c r="B90" s="190">
        <v>0</v>
      </c>
      <c r="C90" s="190">
        <v>0</v>
      </c>
      <c r="D90" s="190">
        <v>425</v>
      </c>
      <c r="E90" s="190">
        <v>425</v>
      </c>
      <c r="F90" s="190">
        <v>0</v>
      </c>
      <c r="G90" s="190">
        <v>0</v>
      </c>
      <c r="I90" s="186" t="s">
        <v>1190</v>
      </c>
      <c r="J90" s="188">
        <v>0</v>
      </c>
      <c r="K90" s="188">
        <v>0</v>
      </c>
      <c r="L90" s="188">
        <v>1458.932</v>
      </c>
      <c r="M90" s="188">
        <v>1458.932</v>
      </c>
      <c r="N90" s="188">
        <v>0</v>
      </c>
      <c r="O90" s="188">
        <v>0</v>
      </c>
      <c r="P90" s="193"/>
      <c r="Q90" s="202" t="s">
        <v>1393</v>
      </c>
      <c r="R90" s="205">
        <v>0</v>
      </c>
      <c r="S90" s="205">
        <v>0</v>
      </c>
      <c r="T90" s="205">
        <v>48.9</v>
      </c>
      <c r="U90" s="205">
        <v>0</v>
      </c>
      <c r="V90" s="205">
        <v>48.9</v>
      </c>
      <c r="W90" s="205">
        <v>0</v>
      </c>
    </row>
    <row r="91" spans="1:23" s="7" customFormat="1">
      <c r="A91" s="189" t="s">
        <v>798</v>
      </c>
      <c r="B91" s="190">
        <v>0</v>
      </c>
      <c r="C91" s="190">
        <v>0</v>
      </c>
      <c r="D91" s="190">
        <v>1757.41462</v>
      </c>
      <c r="E91" s="190">
        <v>1757.41462</v>
      </c>
      <c r="F91" s="190">
        <v>0</v>
      </c>
      <c r="G91" s="190">
        <v>0</v>
      </c>
      <c r="I91" s="186" t="s">
        <v>1191</v>
      </c>
      <c r="J91" s="188">
        <v>595.5</v>
      </c>
      <c r="K91" s="188">
        <v>0</v>
      </c>
      <c r="L91" s="188">
        <v>17266.272710000001</v>
      </c>
      <c r="M91" s="188">
        <v>17861.772710000001</v>
      </c>
      <c r="N91" s="188">
        <v>0</v>
      </c>
      <c r="O91" s="188">
        <v>0</v>
      </c>
      <c r="P91" s="193"/>
      <c r="Q91" s="202" t="s">
        <v>1952</v>
      </c>
      <c r="R91" s="205">
        <v>0</v>
      </c>
      <c r="S91" s="205">
        <v>0</v>
      </c>
      <c r="T91" s="205">
        <v>15</v>
      </c>
      <c r="U91" s="205">
        <v>15</v>
      </c>
      <c r="V91" s="205">
        <v>0</v>
      </c>
      <c r="W91" s="205">
        <v>0</v>
      </c>
    </row>
    <row r="92" spans="1:23" s="7" customFormat="1">
      <c r="A92" s="189" t="s">
        <v>799</v>
      </c>
      <c r="B92" s="190">
        <v>0</v>
      </c>
      <c r="C92" s="190">
        <v>0</v>
      </c>
      <c r="D92" s="190">
        <v>12265.019319999999</v>
      </c>
      <c r="E92" s="190">
        <v>12265.019319999999</v>
      </c>
      <c r="F92" s="190">
        <v>0</v>
      </c>
      <c r="G92" s="190">
        <v>0</v>
      </c>
      <c r="I92" s="186" t="s">
        <v>1192</v>
      </c>
      <c r="J92" s="188">
        <v>0</v>
      </c>
      <c r="K92" s="188">
        <v>0</v>
      </c>
      <c r="L92" s="188">
        <v>68.766000000000005</v>
      </c>
      <c r="M92" s="188">
        <v>68.766000000000005</v>
      </c>
      <c r="N92" s="188">
        <v>0</v>
      </c>
      <c r="O92" s="188">
        <v>0</v>
      </c>
      <c r="P92" s="193"/>
      <c r="Q92" s="202" t="s">
        <v>1953</v>
      </c>
      <c r="R92" s="205">
        <v>0</v>
      </c>
      <c r="S92" s="205">
        <v>0</v>
      </c>
      <c r="T92" s="205">
        <v>10.3</v>
      </c>
      <c r="U92" s="205">
        <v>10.3</v>
      </c>
      <c r="V92" s="205">
        <v>0</v>
      </c>
      <c r="W92" s="205">
        <v>0</v>
      </c>
    </row>
    <row r="93" spans="1:23" s="7" customFormat="1">
      <c r="A93" s="189" t="s">
        <v>800</v>
      </c>
      <c r="B93" s="190">
        <v>0</v>
      </c>
      <c r="C93" s="190">
        <v>0</v>
      </c>
      <c r="D93" s="190">
        <v>2657.7828300000001</v>
      </c>
      <c r="E93" s="190">
        <v>2657.7828300000001</v>
      </c>
      <c r="F93" s="190">
        <v>0</v>
      </c>
      <c r="G93" s="190">
        <v>0</v>
      </c>
      <c r="I93" s="186" t="s">
        <v>1193</v>
      </c>
      <c r="J93" s="188">
        <v>0</v>
      </c>
      <c r="K93" s="188">
        <v>0</v>
      </c>
      <c r="L93" s="188">
        <v>3175.2</v>
      </c>
      <c r="M93" s="188">
        <v>3175.2</v>
      </c>
      <c r="N93" s="188">
        <v>0</v>
      </c>
      <c r="O93" s="188">
        <v>0</v>
      </c>
      <c r="P93" s="193"/>
      <c r="Q93" s="202" t="s">
        <v>1954</v>
      </c>
      <c r="R93" s="205">
        <v>0</v>
      </c>
      <c r="S93" s="205">
        <v>0</v>
      </c>
      <c r="T93" s="205">
        <v>20</v>
      </c>
      <c r="U93" s="205">
        <v>0</v>
      </c>
      <c r="V93" s="205">
        <v>20</v>
      </c>
      <c r="W93" s="205">
        <v>0</v>
      </c>
    </row>
    <row r="94" spans="1:23" s="7" customFormat="1">
      <c r="A94" s="189" t="s">
        <v>801</v>
      </c>
      <c r="B94" s="190">
        <v>0</v>
      </c>
      <c r="C94" s="190">
        <v>0</v>
      </c>
      <c r="D94" s="190">
        <v>17.850000000000001</v>
      </c>
      <c r="E94" s="190">
        <v>17.850000000000001</v>
      </c>
      <c r="F94" s="190">
        <v>0</v>
      </c>
      <c r="G94" s="190">
        <v>0</v>
      </c>
      <c r="I94" s="186" t="s">
        <v>1194</v>
      </c>
      <c r="J94" s="188">
        <v>0</v>
      </c>
      <c r="K94" s="188">
        <v>0</v>
      </c>
      <c r="L94" s="188">
        <v>678.83199999999999</v>
      </c>
      <c r="M94" s="188">
        <v>678.83199999999999</v>
      </c>
      <c r="N94" s="188">
        <v>0</v>
      </c>
      <c r="O94" s="188">
        <v>0</v>
      </c>
      <c r="P94" s="193"/>
      <c r="Q94" s="202" t="s">
        <v>1955</v>
      </c>
      <c r="R94" s="205">
        <v>0</v>
      </c>
      <c r="S94" s="205">
        <v>0</v>
      </c>
      <c r="T94" s="205">
        <v>144.08000000000001</v>
      </c>
      <c r="U94" s="205">
        <v>144.08000000000001</v>
      </c>
      <c r="V94" s="205">
        <v>0</v>
      </c>
      <c r="W94" s="205">
        <v>0</v>
      </c>
    </row>
    <row r="95" spans="1:23" s="7" customFormat="1">
      <c r="A95" s="189" t="s">
        <v>802</v>
      </c>
      <c r="B95" s="190">
        <v>1E-3</v>
      </c>
      <c r="C95" s="190">
        <v>0</v>
      </c>
      <c r="D95" s="190">
        <v>53.9</v>
      </c>
      <c r="E95" s="190">
        <v>53.901000000000003</v>
      </c>
      <c r="F95" s="190">
        <v>0</v>
      </c>
      <c r="G95" s="190">
        <v>0</v>
      </c>
      <c r="I95" s="186" t="s">
        <v>1195</v>
      </c>
      <c r="J95" s="188">
        <v>0</v>
      </c>
      <c r="K95" s="188">
        <v>0</v>
      </c>
      <c r="L95" s="188">
        <v>78203.152560000002</v>
      </c>
      <c r="M95" s="188">
        <v>78203.152560000002</v>
      </c>
      <c r="N95" s="188">
        <v>0</v>
      </c>
      <c r="O95" s="188">
        <v>0</v>
      </c>
      <c r="P95" s="193"/>
      <c r="Q95" s="202" t="s">
        <v>1956</v>
      </c>
      <c r="R95" s="205">
        <v>0</v>
      </c>
      <c r="S95" s="205">
        <v>0</v>
      </c>
      <c r="T95" s="205">
        <v>14</v>
      </c>
      <c r="U95" s="205">
        <v>14</v>
      </c>
      <c r="V95" s="205">
        <v>0</v>
      </c>
      <c r="W95" s="205">
        <v>0</v>
      </c>
    </row>
    <row r="96" spans="1:23" s="7" customFormat="1">
      <c r="A96" s="189" t="s">
        <v>803</v>
      </c>
      <c r="B96" s="190">
        <v>0</v>
      </c>
      <c r="C96" s="190">
        <v>0</v>
      </c>
      <c r="D96" s="190">
        <v>3511.3910000000001</v>
      </c>
      <c r="E96" s="190">
        <v>3511.3910000000001</v>
      </c>
      <c r="F96" s="190">
        <v>0</v>
      </c>
      <c r="G96" s="190">
        <v>0</v>
      </c>
      <c r="I96" s="186" t="s">
        <v>1196</v>
      </c>
      <c r="J96" s="188">
        <v>0</v>
      </c>
      <c r="K96" s="188">
        <v>0</v>
      </c>
      <c r="L96" s="188">
        <v>777.6</v>
      </c>
      <c r="M96" s="188">
        <v>777.6</v>
      </c>
      <c r="N96" s="188">
        <v>0</v>
      </c>
      <c r="O96" s="188">
        <v>0</v>
      </c>
      <c r="P96" s="193"/>
      <c r="Q96" s="202" t="s">
        <v>1957</v>
      </c>
      <c r="R96" s="205">
        <v>0</v>
      </c>
      <c r="S96" s="205">
        <v>0</v>
      </c>
      <c r="T96" s="205">
        <v>92.263999999999996</v>
      </c>
      <c r="U96" s="205">
        <v>92.263999999999996</v>
      </c>
      <c r="V96" s="205">
        <v>0</v>
      </c>
      <c r="W96" s="205">
        <v>0</v>
      </c>
    </row>
    <row r="97" spans="1:23" s="7" customFormat="1">
      <c r="A97" s="189" t="s">
        <v>804</v>
      </c>
      <c r="B97" s="190">
        <v>156.80000000000001</v>
      </c>
      <c r="C97" s="190">
        <v>0</v>
      </c>
      <c r="D97" s="190">
        <v>89.6</v>
      </c>
      <c r="E97" s="190">
        <v>246.4</v>
      </c>
      <c r="F97" s="190">
        <v>0</v>
      </c>
      <c r="G97" s="190">
        <v>0</v>
      </c>
      <c r="I97" s="186" t="s">
        <v>1197</v>
      </c>
      <c r="J97" s="188">
        <v>0</v>
      </c>
      <c r="K97" s="188">
        <v>0</v>
      </c>
      <c r="L97" s="188">
        <v>83326.356499999994</v>
      </c>
      <c r="M97" s="188">
        <v>83326.356499999994</v>
      </c>
      <c r="N97" s="188">
        <v>0</v>
      </c>
      <c r="O97" s="188">
        <v>0</v>
      </c>
      <c r="P97" s="193"/>
      <c r="Q97" s="202" t="s">
        <v>1442</v>
      </c>
      <c r="R97" s="205">
        <v>0</v>
      </c>
      <c r="S97" s="205">
        <v>0</v>
      </c>
      <c r="T97" s="205">
        <v>27</v>
      </c>
      <c r="U97" s="205">
        <v>27</v>
      </c>
      <c r="V97" s="205">
        <v>0</v>
      </c>
      <c r="W97" s="205">
        <v>0</v>
      </c>
    </row>
    <row r="98" spans="1:23" s="7" customFormat="1">
      <c r="A98" s="189" t="s">
        <v>805</v>
      </c>
      <c r="B98" s="190">
        <v>52.8</v>
      </c>
      <c r="C98" s="190">
        <v>0</v>
      </c>
      <c r="D98" s="190">
        <v>0</v>
      </c>
      <c r="E98" s="190">
        <v>52.8</v>
      </c>
      <c r="F98" s="190">
        <v>0</v>
      </c>
      <c r="G98" s="190">
        <v>0</v>
      </c>
      <c r="I98" s="186" t="s">
        <v>1198</v>
      </c>
      <c r="J98" s="188">
        <v>0</v>
      </c>
      <c r="K98" s="188">
        <v>0</v>
      </c>
      <c r="L98" s="188">
        <v>16938.969710000001</v>
      </c>
      <c r="M98" s="188">
        <v>16938.969710000001</v>
      </c>
      <c r="N98" s="188">
        <v>0</v>
      </c>
      <c r="O98" s="188">
        <v>0</v>
      </c>
      <c r="P98" s="193"/>
      <c r="Q98" s="202" t="s">
        <v>1958</v>
      </c>
      <c r="R98" s="205">
        <v>0</v>
      </c>
      <c r="S98" s="205">
        <v>0</v>
      </c>
      <c r="T98" s="205">
        <v>912.82</v>
      </c>
      <c r="U98" s="205">
        <v>912.82</v>
      </c>
      <c r="V98" s="205">
        <v>0</v>
      </c>
      <c r="W98" s="205">
        <v>0</v>
      </c>
    </row>
    <row r="99" spans="1:23" s="7" customFormat="1">
      <c r="A99" s="189" t="s">
        <v>806</v>
      </c>
      <c r="B99" s="190">
        <v>0</v>
      </c>
      <c r="C99" s="190">
        <v>0</v>
      </c>
      <c r="D99" s="190">
        <v>5150</v>
      </c>
      <c r="E99" s="190">
        <v>5150</v>
      </c>
      <c r="F99" s="190">
        <v>0</v>
      </c>
      <c r="G99" s="190">
        <v>0</v>
      </c>
      <c r="I99" s="186" t="s">
        <v>1199</v>
      </c>
      <c r="J99" s="188">
        <v>0</v>
      </c>
      <c r="K99" s="188">
        <v>0</v>
      </c>
      <c r="L99" s="188">
        <v>179.48</v>
      </c>
      <c r="M99" s="188">
        <v>179.48</v>
      </c>
      <c r="N99" s="188">
        <v>0</v>
      </c>
      <c r="O99" s="188">
        <v>0</v>
      </c>
      <c r="P99" s="193"/>
      <c r="Q99" s="202" t="s">
        <v>914</v>
      </c>
      <c r="R99" s="205">
        <v>0</v>
      </c>
      <c r="S99" s="205">
        <v>0</v>
      </c>
      <c r="T99" s="205">
        <v>20448.045999999998</v>
      </c>
      <c r="U99" s="205">
        <v>20448.045999999998</v>
      </c>
      <c r="V99" s="205">
        <v>0</v>
      </c>
      <c r="W99" s="205">
        <v>0</v>
      </c>
    </row>
    <row r="100" spans="1:23" s="7" customFormat="1">
      <c r="A100" s="189" t="s">
        <v>807</v>
      </c>
      <c r="B100" s="190">
        <v>156723.70449999999</v>
      </c>
      <c r="C100" s="190">
        <v>0</v>
      </c>
      <c r="D100" s="190">
        <v>5449517.3536200002</v>
      </c>
      <c r="E100" s="190">
        <v>4767338.6477000006</v>
      </c>
      <c r="F100" s="190">
        <v>838902.41041999997</v>
      </c>
      <c r="G100" s="190">
        <v>0</v>
      </c>
      <c r="I100" s="186" t="s">
        <v>789</v>
      </c>
      <c r="J100" s="188">
        <v>0</v>
      </c>
      <c r="K100" s="188">
        <v>0</v>
      </c>
      <c r="L100" s="188">
        <v>47883.510560000002</v>
      </c>
      <c r="M100" s="188">
        <v>47883.510560000002</v>
      </c>
      <c r="N100" s="188">
        <v>0</v>
      </c>
      <c r="O100" s="188">
        <v>0</v>
      </c>
      <c r="P100" s="193"/>
      <c r="Q100" s="202" t="s">
        <v>915</v>
      </c>
      <c r="R100" s="205">
        <v>0</v>
      </c>
      <c r="S100" s="205">
        <v>0</v>
      </c>
      <c r="T100" s="205">
        <v>78.5</v>
      </c>
      <c r="U100" s="205">
        <v>56</v>
      </c>
      <c r="V100" s="205">
        <v>22.5</v>
      </c>
      <c r="W100" s="205">
        <v>0</v>
      </c>
    </row>
    <row r="101" spans="1:23" s="7" customFormat="1">
      <c r="A101" s="189" t="s">
        <v>808</v>
      </c>
      <c r="B101" s="190">
        <v>0</v>
      </c>
      <c r="C101" s="190">
        <v>0</v>
      </c>
      <c r="D101" s="190">
        <v>41467.652130000002</v>
      </c>
      <c r="E101" s="190">
        <v>41467.652130000002</v>
      </c>
      <c r="F101" s="190">
        <v>0</v>
      </c>
      <c r="G101" s="190">
        <v>0</v>
      </c>
      <c r="I101" s="186" t="s">
        <v>1200</v>
      </c>
      <c r="J101" s="188">
        <v>7273.2464</v>
      </c>
      <c r="K101" s="188">
        <v>0</v>
      </c>
      <c r="L101" s="188">
        <v>53506.072</v>
      </c>
      <c r="M101" s="188">
        <v>49855.974880000002</v>
      </c>
      <c r="N101" s="188">
        <v>10923.34352</v>
      </c>
      <c r="O101" s="188">
        <v>0</v>
      </c>
      <c r="P101" s="193"/>
      <c r="Q101" s="202" t="s">
        <v>1456</v>
      </c>
      <c r="R101" s="205">
        <v>0</v>
      </c>
      <c r="S101" s="205">
        <v>0</v>
      </c>
      <c r="T101" s="205">
        <v>425.40499999999997</v>
      </c>
      <c r="U101" s="205">
        <v>307.71499999999997</v>
      </c>
      <c r="V101" s="205">
        <v>117.69</v>
      </c>
      <c r="W101" s="205">
        <v>0</v>
      </c>
    </row>
    <row r="102" spans="1:23" s="7" customFormat="1">
      <c r="A102" s="189" t="s">
        <v>809</v>
      </c>
      <c r="B102" s="190">
        <v>0</v>
      </c>
      <c r="C102" s="190">
        <v>0</v>
      </c>
      <c r="D102" s="190">
        <v>76.100999999999999</v>
      </c>
      <c r="E102" s="190">
        <v>76.100999999999999</v>
      </c>
      <c r="F102" s="190">
        <v>0</v>
      </c>
      <c r="G102" s="190">
        <v>0</v>
      </c>
      <c r="I102" s="186" t="s">
        <v>1201</v>
      </c>
      <c r="J102" s="188">
        <v>0</v>
      </c>
      <c r="K102" s="188">
        <v>0</v>
      </c>
      <c r="L102" s="188">
        <v>47.542000000000002</v>
      </c>
      <c r="M102" s="188">
        <v>47.542000000000002</v>
      </c>
      <c r="N102" s="188">
        <v>0</v>
      </c>
      <c r="O102" s="188">
        <v>0</v>
      </c>
      <c r="P102" s="193"/>
      <c r="Q102" s="202" t="s">
        <v>1959</v>
      </c>
      <c r="R102" s="205">
        <v>0</v>
      </c>
      <c r="S102" s="205">
        <v>0</v>
      </c>
      <c r="T102" s="205">
        <v>1793.7</v>
      </c>
      <c r="U102" s="205">
        <v>1793.7</v>
      </c>
      <c r="V102" s="205">
        <v>0</v>
      </c>
      <c r="W102" s="205">
        <v>0</v>
      </c>
    </row>
    <row r="103" spans="1:23" s="7" customFormat="1">
      <c r="A103" s="189" t="s">
        <v>810</v>
      </c>
      <c r="B103" s="190">
        <v>0</v>
      </c>
      <c r="C103" s="190">
        <v>0</v>
      </c>
      <c r="D103" s="190">
        <v>200</v>
      </c>
      <c r="E103" s="190">
        <v>200</v>
      </c>
      <c r="F103" s="190">
        <v>0</v>
      </c>
      <c r="G103" s="190">
        <v>0</v>
      </c>
      <c r="I103" s="186" t="s">
        <v>1202</v>
      </c>
      <c r="J103" s="188">
        <v>0</v>
      </c>
      <c r="K103" s="188">
        <v>0</v>
      </c>
      <c r="L103" s="188">
        <v>1121.8050000000001</v>
      </c>
      <c r="M103" s="188">
        <v>1121.8050000000001</v>
      </c>
      <c r="N103" s="188">
        <v>0</v>
      </c>
      <c r="O103" s="188">
        <v>0</v>
      </c>
      <c r="P103" s="193"/>
      <c r="Q103" s="202" t="s">
        <v>1960</v>
      </c>
      <c r="R103" s="205">
        <v>0</v>
      </c>
      <c r="S103" s="205">
        <v>0</v>
      </c>
      <c r="T103" s="205">
        <v>2435.7979999999998</v>
      </c>
      <c r="U103" s="205">
        <v>1203.3309999999999</v>
      </c>
      <c r="V103" s="205">
        <v>1232.4670000000001</v>
      </c>
      <c r="W103" s="205">
        <v>0</v>
      </c>
    </row>
    <row r="104" spans="1:23" s="7" customFormat="1">
      <c r="A104" s="189" t="s">
        <v>811</v>
      </c>
      <c r="B104" s="190">
        <v>0</v>
      </c>
      <c r="C104" s="190">
        <v>0</v>
      </c>
      <c r="D104" s="190">
        <v>589.04999999999995</v>
      </c>
      <c r="E104" s="190">
        <v>589.04999999999995</v>
      </c>
      <c r="F104" s="190">
        <v>0</v>
      </c>
      <c r="G104" s="190">
        <v>0</v>
      </c>
      <c r="I104" s="186" t="s">
        <v>1203</v>
      </c>
      <c r="J104" s="188">
        <v>3860.39725</v>
      </c>
      <c r="K104" s="188">
        <v>0</v>
      </c>
      <c r="L104" s="188">
        <v>1650</v>
      </c>
      <c r="M104" s="188">
        <v>5510.39725</v>
      </c>
      <c r="N104" s="188">
        <v>0</v>
      </c>
      <c r="O104" s="188">
        <v>0</v>
      </c>
      <c r="P104" s="193"/>
      <c r="Q104" s="202" t="s">
        <v>1961</v>
      </c>
      <c r="R104" s="205">
        <v>0</v>
      </c>
      <c r="S104" s="205">
        <v>0</v>
      </c>
      <c r="T104" s="205">
        <v>647.00056999999993</v>
      </c>
      <c r="U104" s="205">
        <v>601.82646999999997</v>
      </c>
      <c r="V104" s="205">
        <v>45.174099999999996</v>
      </c>
      <c r="W104" s="205">
        <v>0</v>
      </c>
    </row>
    <row r="105" spans="1:23" s="7" customFormat="1">
      <c r="A105" s="189" t="s">
        <v>812</v>
      </c>
      <c r="B105" s="190">
        <v>0</v>
      </c>
      <c r="C105" s="190">
        <v>0</v>
      </c>
      <c r="D105" s="190">
        <v>7525.44</v>
      </c>
      <c r="E105" s="190">
        <v>7525.44</v>
      </c>
      <c r="F105" s="190">
        <v>0</v>
      </c>
      <c r="G105" s="190">
        <v>0</v>
      </c>
      <c r="I105" s="186" t="s">
        <v>1204</v>
      </c>
      <c r="J105" s="188">
        <v>0</v>
      </c>
      <c r="K105" s="188">
        <v>0</v>
      </c>
      <c r="L105" s="188">
        <v>2166.085</v>
      </c>
      <c r="M105" s="188">
        <v>2166.085</v>
      </c>
      <c r="N105" s="188">
        <v>0</v>
      </c>
      <c r="O105" s="188">
        <v>0</v>
      </c>
      <c r="P105" s="193"/>
      <c r="Q105" s="202" t="s">
        <v>1962</v>
      </c>
      <c r="R105" s="205">
        <v>0</v>
      </c>
      <c r="S105" s="205">
        <v>0</v>
      </c>
      <c r="T105" s="205">
        <v>201.66</v>
      </c>
      <c r="U105" s="205">
        <v>217.26</v>
      </c>
      <c r="V105" s="206">
        <v>-15.6</v>
      </c>
      <c r="W105" s="205">
        <v>0</v>
      </c>
    </row>
    <row r="106" spans="1:23" s="7" customFormat="1">
      <c r="A106" s="189" t="s">
        <v>813</v>
      </c>
      <c r="B106" s="190">
        <v>0</v>
      </c>
      <c r="C106" s="190">
        <v>0</v>
      </c>
      <c r="D106" s="190">
        <v>48</v>
      </c>
      <c r="E106" s="190">
        <v>48</v>
      </c>
      <c r="F106" s="190">
        <v>0</v>
      </c>
      <c r="G106" s="190">
        <v>0</v>
      </c>
      <c r="I106" s="186" t="s">
        <v>1205</v>
      </c>
      <c r="J106" s="188">
        <v>0</v>
      </c>
      <c r="K106" s="188">
        <v>0</v>
      </c>
      <c r="L106" s="188">
        <v>2714</v>
      </c>
      <c r="M106" s="188">
        <v>2714</v>
      </c>
      <c r="N106" s="188">
        <v>0</v>
      </c>
      <c r="O106" s="188">
        <v>0</v>
      </c>
      <c r="P106" s="193"/>
      <c r="Q106" s="202" t="s">
        <v>1963</v>
      </c>
      <c r="R106" s="205">
        <v>0</v>
      </c>
      <c r="S106" s="205">
        <v>0</v>
      </c>
      <c r="T106" s="205">
        <v>3773.14</v>
      </c>
      <c r="U106" s="205">
        <v>3773.14</v>
      </c>
      <c r="V106" s="205">
        <v>0</v>
      </c>
      <c r="W106" s="205">
        <v>0</v>
      </c>
    </row>
    <row r="107" spans="1:23" s="7" customFormat="1">
      <c r="A107" s="189" t="s">
        <v>814</v>
      </c>
      <c r="B107" s="190">
        <v>0</v>
      </c>
      <c r="C107" s="190">
        <v>0</v>
      </c>
      <c r="D107" s="190">
        <v>219.8</v>
      </c>
      <c r="E107" s="190">
        <v>219.8</v>
      </c>
      <c r="F107" s="190">
        <v>0</v>
      </c>
      <c r="G107" s="190">
        <v>0</v>
      </c>
      <c r="I107" s="186" t="s">
        <v>1206</v>
      </c>
      <c r="J107" s="188">
        <v>0</v>
      </c>
      <c r="K107" s="188">
        <v>0</v>
      </c>
      <c r="L107" s="188">
        <v>660</v>
      </c>
      <c r="M107" s="188">
        <v>660</v>
      </c>
      <c r="N107" s="188">
        <v>0</v>
      </c>
      <c r="O107" s="188">
        <v>0</v>
      </c>
      <c r="P107" s="193"/>
      <c r="Q107" s="202" t="s">
        <v>1964</v>
      </c>
      <c r="R107" s="205">
        <v>0</v>
      </c>
      <c r="S107" s="205">
        <v>0</v>
      </c>
      <c r="T107" s="205">
        <v>42.5</v>
      </c>
      <c r="U107" s="205">
        <v>42.5</v>
      </c>
      <c r="V107" s="205">
        <v>0</v>
      </c>
      <c r="W107" s="205">
        <v>0</v>
      </c>
    </row>
    <row r="108" spans="1:23" s="7" customFormat="1">
      <c r="A108" s="189" t="s">
        <v>815</v>
      </c>
      <c r="B108" s="190">
        <v>1.37</v>
      </c>
      <c r="C108" s="190">
        <v>0</v>
      </c>
      <c r="D108" s="190">
        <v>2970.27</v>
      </c>
      <c r="E108" s="190">
        <v>2971.64</v>
      </c>
      <c r="F108" s="190">
        <v>0</v>
      </c>
      <c r="G108" s="190">
        <v>0</v>
      </c>
      <c r="I108" s="186" t="s">
        <v>1207</v>
      </c>
      <c r="J108" s="188">
        <v>0</v>
      </c>
      <c r="K108" s="188">
        <v>0</v>
      </c>
      <c r="L108" s="188">
        <v>320</v>
      </c>
      <c r="M108" s="188">
        <v>320</v>
      </c>
      <c r="N108" s="188">
        <v>0</v>
      </c>
      <c r="O108" s="188">
        <v>0</v>
      </c>
      <c r="P108" s="193"/>
      <c r="Q108" s="202" t="s">
        <v>1965</v>
      </c>
      <c r="R108" s="205">
        <v>0</v>
      </c>
      <c r="S108" s="205">
        <v>0</v>
      </c>
      <c r="T108" s="205">
        <v>100.8</v>
      </c>
      <c r="U108" s="205">
        <v>100.8</v>
      </c>
      <c r="V108" s="205">
        <v>0</v>
      </c>
      <c r="W108" s="205">
        <v>0</v>
      </c>
    </row>
    <row r="109" spans="1:23" s="7" customFormat="1">
      <c r="A109" s="189" t="s">
        <v>816</v>
      </c>
      <c r="B109" s="190">
        <v>0</v>
      </c>
      <c r="C109" s="190">
        <v>0</v>
      </c>
      <c r="D109" s="190">
        <v>85</v>
      </c>
      <c r="E109" s="190">
        <v>85</v>
      </c>
      <c r="F109" s="190">
        <v>0</v>
      </c>
      <c r="G109" s="190">
        <v>0</v>
      </c>
      <c r="I109" s="186" t="s">
        <v>1208</v>
      </c>
      <c r="J109" s="188">
        <v>0</v>
      </c>
      <c r="K109" s="188">
        <v>0</v>
      </c>
      <c r="L109" s="188">
        <v>9824.4500000000007</v>
      </c>
      <c r="M109" s="188">
        <v>9824.4500000000007</v>
      </c>
      <c r="N109" s="188">
        <v>0</v>
      </c>
      <c r="O109" s="188">
        <v>0</v>
      </c>
      <c r="P109" s="193"/>
      <c r="Q109" s="202" t="s">
        <v>1966</v>
      </c>
      <c r="R109" s="205">
        <v>0</v>
      </c>
      <c r="S109" s="205">
        <v>0</v>
      </c>
      <c r="T109" s="205">
        <v>194.56</v>
      </c>
      <c r="U109" s="205">
        <v>194.56</v>
      </c>
      <c r="V109" s="205">
        <v>0</v>
      </c>
      <c r="W109" s="205">
        <v>0</v>
      </c>
    </row>
    <row r="110" spans="1:23" s="7" customFormat="1">
      <c r="A110" s="189" t="s">
        <v>817</v>
      </c>
      <c r="B110" s="190">
        <v>0</v>
      </c>
      <c r="C110" s="190">
        <v>0</v>
      </c>
      <c r="D110" s="190">
        <v>50.5</v>
      </c>
      <c r="E110" s="190">
        <v>50.5</v>
      </c>
      <c r="F110" s="190">
        <v>0</v>
      </c>
      <c r="G110" s="190">
        <v>0</v>
      </c>
      <c r="I110" s="186" t="s">
        <v>1209</v>
      </c>
      <c r="J110" s="188">
        <v>768.56875000000002</v>
      </c>
      <c r="K110" s="188">
        <v>0</v>
      </c>
      <c r="L110" s="188">
        <v>810.30852000000004</v>
      </c>
      <c r="M110" s="188">
        <v>1578.87727</v>
      </c>
      <c r="N110" s="188">
        <v>0</v>
      </c>
      <c r="O110" s="188">
        <v>0</v>
      </c>
      <c r="P110" s="193"/>
      <c r="Q110" s="202" t="s">
        <v>1967</v>
      </c>
      <c r="R110" s="205">
        <v>0</v>
      </c>
      <c r="S110" s="205">
        <v>0</v>
      </c>
      <c r="T110" s="205">
        <v>150.93</v>
      </c>
      <c r="U110" s="205">
        <v>150.93</v>
      </c>
      <c r="V110" s="205">
        <v>0</v>
      </c>
      <c r="W110" s="205">
        <v>0</v>
      </c>
    </row>
    <row r="111" spans="1:23" s="7" customFormat="1">
      <c r="A111" s="189" t="s">
        <v>818</v>
      </c>
      <c r="B111" s="190">
        <v>0</v>
      </c>
      <c r="C111" s="190">
        <v>0</v>
      </c>
      <c r="D111" s="190">
        <v>278.7</v>
      </c>
      <c r="E111" s="190">
        <v>268.60000000000002</v>
      </c>
      <c r="F111" s="190">
        <v>10.1</v>
      </c>
      <c r="G111" s="190">
        <v>0</v>
      </c>
      <c r="I111" s="186" t="s">
        <v>1210</v>
      </c>
      <c r="J111" s="188">
        <v>166.1</v>
      </c>
      <c r="K111" s="188">
        <v>0</v>
      </c>
      <c r="L111" s="188">
        <v>0</v>
      </c>
      <c r="M111" s="188">
        <v>0</v>
      </c>
      <c r="N111" s="188">
        <v>166.1</v>
      </c>
      <c r="O111" s="188">
        <v>0</v>
      </c>
      <c r="P111" s="193"/>
      <c r="Q111" s="202" t="s">
        <v>1968</v>
      </c>
      <c r="R111" s="205">
        <v>0</v>
      </c>
      <c r="S111" s="205">
        <v>0</v>
      </c>
      <c r="T111" s="205">
        <v>149.99</v>
      </c>
      <c r="U111" s="205">
        <v>149.99</v>
      </c>
      <c r="V111" s="205">
        <v>0</v>
      </c>
      <c r="W111" s="205">
        <v>0</v>
      </c>
    </row>
    <row r="112" spans="1:23" s="7" customFormat="1">
      <c r="A112" s="189" t="s">
        <v>819</v>
      </c>
      <c r="B112" s="190">
        <v>0</v>
      </c>
      <c r="C112" s="190">
        <v>0</v>
      </c>
      <c r="D112" s="190">
        <v>190.7</v>
      </c>
      <c r="E112" s="190">
        <v>190.7</v>
      </c>
      <c r="F112" s="190">
        <v>0</v>
      </c>
      <c r="G112" s="190">
        <v>0</v>
      </c>
      <c r="I112" s="186" t="s">
        <v>1211</v>
      </c>
      <c r="J112" s="188">
        <v>0</v>
      </c>
      <c r="K112" s="188">
        <v>0</v>
      </c>
      <c r="L112" s="188">
        <v>547.49519999999995</v>
      </c>
      <c r="M112" s="188">
        <v>547.49519999999995</v>
      </c>
      <c r="N112" s="188">
        <v>0</v>
      </c>
      <c r="O112" s="188">
        <v>0</v>
      </c>
      <c r="P112" s="193"/>
      <c r="Q112" s="202" t="s">
        <v>1969</v>
      </c>
      <c r="R112" s="205">
        <v>0</v>
      </c>
      <c r="S112" s="205">
        <v>0</v>
      </c>
      <c r="T112" s="205">
        <v>1367.4</v>
      </c>
      <c r="U112" s="205">
        <v>1105</v>
      </c>
      <c r="V112" s="205">
        <v>262.39999999999998</v>
      </c>
      <c r="W112" s="205">
        <v>0</v>
      </c>
    </row>
    <row r="113" spans="1:23" s="7" customFormat="1">
      <c r="A113" s="189" t="s">
        <v>820</v>
      </c>
      <c r="B113" s="190">
        <v>0</v>
      </c>
      <c r="C113" s="190">
        <v>0</v>
      </c>
      <c r="D113" s="190">
        <v>13398.4215</v>
      </c>
      <c r="E113" s="190">
        <v>13398.4215</v>
      </c>
      <c r="F113" s="190">
        <v>0</v>
      </c>
      <c r="G113" s="190">
        <v>0</v>
      </c>
      <c r="I113" s="186" t="s">
        <v>1212</v>
      </c>
      <c r="J113" s="188">
        <v>189.24</v>
      </c>
      <c r="K113" s="188">
        <v>0</v>
      </c>
      <c r="L113" s="188">
        <v>0</v>
      </c>
      <c r="M113" s="188">
        <v>189.24</v>
      </c>
      <c r="N113" s="188">
        <v>0</v>
      </c>
      <c r="O113" s="188">
        <v>0</v>
      </c>
      <c r="P113" s="193"/>
      <c r="Q113" s="202" t="s">
        <v>1970</v>
      </c>
      <c r="R113" s="205">
        <v>0</v>
      </c>
      <c r="S113" s="205">
        <v>0</v>
      </c>
      <c r="T113" s="205">
        <v>972.2</v>
      </c>
      <c r="U113" s="205">
        <v>972.2</v>
      </c>
      <c r="V113" s="205">
        <v>0</v>
      </c>
      <c r="W113" s="205">
        <v>0</v>
      </c>
    </row>
    <row r="114" spans="1:23" s="7" customFormat="1">
      <c r="A114" s="189" t="s">
        <v>821</v>
      </c>
      <c r="B114" s="190">
        <v>0</v>
      </c>
      <c r="C114" s="190">
        <v>0</v>
      </c>
      <c r="D114" s="190">
        <v>76243.105110000004</v>
      </c>
      <c r="E114" s="190">
        <v>23243.015350000001</v>
      </c>
      <c r="F114" s="190">
        <v>53000.089759999995</v>
      </c>
      <c r="G114" s="190">
        <v>0</v>
      </c>
      <c r="I114" s="186" t="s">
        <v>1213</v>
      </c>
      <c r="J114" s="188">
        <v>0</v>
      </c>
      <c r="K114" s="188">
        <v>0</v>
      </c>
      <c r="L114" s="188">
        <v>94</v>
      </c>
      <c r="M114" s="188">
        <v>94</v>
      </c>
      <c r="N114" s="188">
        <v>0</v>
      </c>
      <c r="O114" s="188">
        <v>0</v>
      </c>
      <c r="P114" s="193"/>
      <c r="Q114" s="202" t="s">
        <v>946</v>
      </c>
      <c r="R114" s="205">
        <v>0</v>
      </c>
      <c r="S114" s="205">
        <v>0</v>
      </c>
      <c r="T114" s="205">
        <v>75.900000000000006</v>
      </c>
      <c r="U114" s="205">
        <v>75.900000000000006</v>
      </c>
      <c r="V114" s="205">
        <v>0</v>
      </c>
      <c r="W114" s="205">
        <v>0</v>
      </c>
    </row>
    <row r="115" spans="1:23" s="7" customFormat="1">
      <c r="A115" s="189" t="s">
        <v>822</v>
      </c>
      <c r="B115" s="190">
        <v>0</v>
      </c>
      <c r="C115" s="190">
        <v>0</v>
      </c>
      <c r="D115" s="190">
        <v>17.809999999999999</v>
      </c>
      <c r="E115" s="190">
        <v>17.809999999999999</v>
      </c>
      <c r="F115" s="190">
        <v>0</v>
      </c>
      <c r="G115" s="190">
        <v>0</v>
      </c>
      <c r="I115" s="186" t="s">
        <v>1214</v>
      </c>
      <c r="J115" s="188">
        <v>63.662999999999997</v>
      </c>
      <c r="K115" s="188">
        <v>0</v>
      </c>
      <c r="L115" s="188">
        <v>195.58099999999999</v>
      </c>
      <c r="M115" s="188">
        <v>259.24400000000003</v>
      </c>
      <c r="N115" s="188">
        <v>0</v>
      </c>
      <c r="O115" s="188">
        <v>0</v>
      </c>
      <c r="P115" s="193"/>
      <c r="Q115" s="202" t="s">
        <v>1971</v>
      </c>
      <c r="R115" s="205">
        <v>0</v>
      </c>
      <c r="S115" s="205">
        <v>0</v>
      </c>
      <c r="T115" s="205">
        <v>28315.010699999999</v>
      </c>
      <c r="U115" s="205">
        <v>28165.010699999999</v>
      </c>
      <c r="V115" s="205">
        <v>150</v>
      </c>
      <c r="W115" s="205">
        <v>0</v>
      </c>
    </row>
    <row r="116" spans="1:23" s="7" customFormat="1">
      <c r="A116" s="189" t="s">
        <v>823</v>
      </c>
      <c r="B116" s="190">
        <v>0</v>
      </c>
      <c r="C116" s="190">
        <v>0</v>
      </c>
      <c r="D116" s="190">
        <v>169.64500000000001</v>
      </c>
      <c r="E116" s="190">
        <v>169.64500000000001</v>
      </c>
      <c r="F116" s="190">
        <v>0</v>
      </c>
      <c r="G116" s="190">
        <v>0</v>
      </c>
      <c r="I116" s="186" t="s">
        <v>1215</v>
      </c>
      <c r="J116" s="188">
        <v>300</v>
      </c>
      <c r="K116" s="188">
        <v>0</v>
      </c>
      <c r="L116" s="188">
        <v>0</v>
      </c>
      <c r="M116" s="188">
        <v>0</v>
      </c>
      <c r="N116" s="188">
        <v>300</v>
      </c>
      <c r="O116" s="188">
        <v>0</v>
      </c>
      <c r="P116" s="193"/>
      <c r="Q116" s="202" t="s">
        <v>1972</v>
      </c>
      <c r="R116" s="205">
        <v>0</v>
      </c>
      <c r="S116" s="205">
        <v>0</v>
      </c>
      <c r="T116" s="205">
        <v>72.77</v>
      </c>
      <c r="U116" s="205">
        <v>72.77</v>
      </c>
      <c r="V116" s="205">
        <v>0</v>
      </c>
      <c r="W116" s="205">
        <v>0</v>
      </c>
    </row>
    <row r="117" spans="1:23" s="7" customFormat="1">
      <c r="A117" s="189" t="s">
        <v>824</v>
      </c>
      <c r="B117" s="190">
        <v>0</v>
      </c>
      <c r="C117" s="190">
        <v>0</v>
      </c>
      <c r="D117" s="190">
        <v>6393.4889999999996</v>
      </c>
      <c r="E117" s="190">
        <v>6393.4889999999996</v>
      </c>
      <c r="F117" s="190">
        <v>0</v>
      </c>
      <c r="G117" s="190">
        <v>0</v>
      </c>
      <c r="I117" s="186" t="s">
        <v>1216</v>
      </c>
      <c r="J117" s="188">
        <v>0</v>
      </c>
      <c r="K117" s="188">
        <v>0</v>
      </c>
      <c r="L117" s="188">
        <v>167</v>
      </c>
      <c r="M117" s="188">
        <v>167</v>
      </c>
      <c r="N117" s="188">
        <v>0</v>
      </c>
      <c r="O117" s="188">
        <v>0</v>
      </c>
      <c r="P117" s="193"/>
      <c r="Q117" s="202" t="s">
        <v>1973</v>
      </c>
      <c r="R117" s="205">
        <v>0</v>
      </c>
      <c r="S117" s="205">
        <v>0</v>
      </c>
      <c r="T117" s="205">
        <v>139</v>
      </c>
      <c r="U117" s="205">
        <v>139</v>
      </c>
      <c r="V117" s="205">
        <v>0</v>
      </c>
      <c r="W117" s="205">
        <v>0</v>
      </c>
    </row>
    <row r="118" spans="1:23" s="7" customFormat="1">
      <c r="A118" s="189" t="s">
        <v>825</v>
      </c>
      <c r="B118" s="190">
        <v>0</v>
      </c>
      <c r="C118" s="190">
        <v>0</v>
      </c>
      <c r="D118" s="190">
        <v>22599.583999999999</v>
      </c>
      <c r="E118" s="190">
        <v>22599.583999999999</v>
      </c>
      <c r="F118" s="190">
        <v>0</v>
      </c>
      <c r="G118" s="190">
        <v>0</v>
      </c>
      <c r="I118" s="186" t="s">
        <v>1217</v>
      </c>
      <c r="J118" s="188">
        <v>0</v>
      </c>
      <c r="K118" s="188">
        <v>0</v>
      </c>
      <c r="L118" s="188">
        <v>10.71</v>
      </c>
      <c r="M118" s="188">
        <v>10.71</v>
      </c>
      <c r="N118" s="188">
        <v>0</v>
      </c>
      <c r="O118" s="188">
        <v>0</v>
      </c>
      <c r="P118" s="193"/>
      <c r="Q118" s="202" t="s">
        <v>1974</v>
      </c>
      <c r="R118" s="205">
        <v>0</v>
      </c>
      <c r="S118" s="205">
        <v>0</v>
      </c>
      <c r="T118" s="205">
        <v>610.9</v>
      </c>
      <c r="U118" s="205">
        <v>610.9</v>
      </c>
      <c r="V118" s="205">
        <v>0</v>
      </c>
      <c r="W118" s="205">
        <v>0</v>
      </c>
    </row>
    <row r="119" spans="1:23" s="7" customFormat="1">
      <c r="A119" s="189" t="s">
        <v>826</v>
      </c>
      <c r="B119" s="190">
        <v>0</v>
      </c>
      <c r="C119" s="190">
        <v>0</v>
      </c>
      <c r="D119" s="190">
        <v>676.72</v>
      </c>
      <c r="E119" s="190">
        <v>676.72</v>
      </c>
      <c r="F119" s="190">
        <v>0</v>
      </c>
      <c r="G119" s="190">
        <v>0</v>
      </c>
      <c r="I119" s="186" t="s">
        <v>1218</v>
      </c>
      <c r="J119" s="188">
        <v>0</v>
      </c>
      <c r="K119" s="188">
        <v>0</v>
      </c>
      <c r="L119" s="188">
        <v>96</v>
      </c>
      <c r="M119" s="188">
        <v>96</v>
      </c>
      <c r="N119" s="188">
        <v>0</v>
      </c>
      <c r="O119" s="188">
        <v>0</v>
      </c>
      <c r="P119" s="193"/>
      <c r="Q119" s="202" t="s">
        <v>1975</v>
      </c>
      <c r="R119" s="205">
        <v>0</v>
      </c>
      <c r="S119" s="205">
        <v>0</v>
      </c>
      <c r="T119" s="205">
        <v>631.5</v>
      </c>
      <c r="U119" s="205">
        <v>631.5</v>
      </c>
      <c r="V119" s="205">
        <v>0</v>
      </c>
      <c r="W119" s="205">
        <v>0</v>
      </c>
    </row>
    <row r="120" spans="1:23" s="7" customFormat="1">
      <c r="A120" s="189" t="s">
        <v>827</v>
      </c>
      <c r="B120" s="190">
        <v>0</v>
      </c>
      <c r="C120" s="190">
        <v>0</v>
      </c>
      <c r="D120" s="190">
        <v>156</v>
      </c>
      <c r="E120" s="190">
        <v>156</v>
      </c>
      <c r="F120" s="190">
        <v>0</v>
      </c>
      <c r="G120" s="190">
        <v>0</v>
      </c>
      <c r="I120" s="186" t="s">
        <v>1219</v>
      </c>
      <c r="J120" s="188">
        <v>508.73</v>
      </c>
      <c r="K120" s="188">
        <v>0</v>
      </c>
      <c r="L120" s="188">
        <v>0</v>
      </c>
      <c r="M120" s="188">
        <v>0</v>
      </c>
      <c r="N120" s="188">
        <v>508.73</v>
      </c>
      <c r="O120" s="188">
        <v>0</v>
      </c>
      <c r="P120" s="193"/>
      <c r="Q120" s="202" t="s">
        <v>961</v>
      </c>
      <c r="R120" s="205">
        <v>0</v>
      </c>
      <c r="S120" s="205">
        <v>0</v>
      </c>
      <c r="T120" s="205">
        <v>4.8099999999999996</v>
      </c>
      <c r="U120" s="205">
        <v>0</v>
      </c>
      <c r="V120" s="205">
        <v>4.8099999999999996</v>
      </c>
      <c r="W120" s="205">
        <v>0</v>
      </c>
    </row>
    <row r="121" spans="1:23" s="7" customFormat="1">
      <c r="A121" s="189" t="s">
        <v>828</v>
      </c>
      <c r="B121" s="190">
        <v>0</v>
      </c>
      <c r="C121" s="190">
        <v>0</v>
      </c>
      <c r="D121" s="190">
        <v>11.65</v>
      </c>
      <c r="E121" s="190">
        <v>11.65</v>
      </c>
      <c r="F121" s="190">
        <v>0</v>
      </c>
      <c r="G121" s="190">
        <v>0</v>
      </c>
      <c r="I121" s="186" t="s">
        <v>1220</v>
      </c>
      <c r="J121" s="188">
        <v>405</v>
      </c>
      <c r="K121" s="188">
        <v>0</v>
      </c>
      <c r="L121" s="188">
        <v>0</v>
      </c>
      <c r="M121" s="188">
        <v>0</v>
      </c>
      <c r="N121" s="188">
        <v>405</v>
      </c>
      <c r="O121" s="188">
        <v>0</v>
      </c>
      <c r="P121" s="193"/>
      <c r="Q121" s="202" t="s">
        <v>1976</v>
      </c>
      <c r="R121" s="205">
        <v>0</v>
      </c>
      <c r="S121" s="205">
        <v>0</v>
      </c>
      <c r="T121" s="205">
        <v>1327.74</v>
      </c>
      <c r="U121" s="205">
        <v>1243.07</v>
      </c>
      <c r="V121" s="205">
        <v>84.67</v>
      </c>
      <c r="W121" s="205">
        <v>0</v>
      </c>
    </row>
    <row r="122" spans="1:23" s="7" customFormat="1">
      <c r="A122" s="189" t="s">
        <v>829</v>
      </c>
      <c r="B122" s="190">
        <v>0</v>
      </c>
      <c r="C122" s="190">
        <v>0</v>
      </c>
      <c r="D122" s="190">
        <v>562.79999999999995</v>
      </c>
      <c r="E122" s="190">
        <v>562.79999999999995</v>
      </c>
      <c r="F122" s="190">
        <v>0</v>
      </c>
      <c r="G122" s="190">
        <v>0</v>
      </c>
      <c r="I122" s="186" t="s">
        <v>1221</v>
      </c>
      <c r="J122" s="188">
        <v>0</v>
      </c>
      <c r="K122" s="188">
        <v>0</v>
      </c>
      <c r="L122" s="188">
        <v>39669.280070000001</v>
      </c>
      <c r="M122" s="188">
        <v>39669.280070000001</v>
      </c>
      <c r="N122" s="188">
        <v>0</v>
      </c>
      <c r="O122" s="188">
        <v>0</v>
      </c>
      <c r="P122" s="193"/>
      <c r="Q122" s="202" t="s">
        <v>1977</v>
      </c>
      <c r="R122" s="205">
        <v>0</v>
      </c>
      <c r="S122" s="205">
        <v>0</v>
      </c>
      <c r="T122" s="205">
        <v>252.15</v>
      </c>
      <c r="U122" s="205">
        <v>252.15</v>
      </c>
      <c r="V122" s="205">
        <v>0</v>
      </c>
      <c r="W122" s="205">
        <v>0</v>
      </c>
    </row>
    <row r="123" spans="1:23" s="7" customFormat="1">
      <c r="A123" s="189" t="s">
        <v>830</v>
      </c>
      <c r="B123" s="190">
        <v>0</v>
      </c>
      <c r="C123" s="190">
        <v>0</v>
      </c>
      <c r="D123" s="190">
        <v>13920</v>
      </c>
      <c r="E123" s="190">
        <v>13920</v>
      </c>
      <c r="F123" s="190">
        <v>0</v>
      </c>
      <c r="G123" s="190">
        <v>0</v>
      </c>
      <c r="I123" s="186" t="s">
        <v>1222</v>
      </c>
      <c r="J123" s="188">
        <v>0</v>
      </c>
      <c r="K123" s="188">
        <v>0</v>
      </c>
      <c r="L123" s="188">
        <v>62262.473119999995</v>
      </c>
      <c r="M123" s="188">
        <v>62262.473119999995</v>
      </c>
      <c r="N123" s="188">
        <v>0</v>
      </c>
      <c r="O123" s="188">
        <v>0</v>
      </c>
      <c r="P123" s="193"/>
      <c r="Q123" s="202" t="s">
        <v>1978</v>
      </c>
      <c r="R123" s="205">
        <v>0</v>
      </c>
      <c r="S123" s="205">
        <v>0</v>
      </c>
      <c r="T123" s="205">
        <v>47</v>
      </c>
      <c r="U123" s="205">
        <v>47</v>
      </c>
      <c r="V123" s="205">
        <v>0</v>
      </c>
      <c r="W123" s="205">
        <v>0</v>
      </c>
    </row>
    <row r="124" spans="1:23" s="7" customFormat="1">
      <c r="A124" s="189" t="s">
        <v>831</v>
      </c>
      <c r="B124" s="190">
        <v>0</v>
      </c>
      <c r="C124" s="190">
        <v>0</v>
      </c>
      <c r="D124" s="190">
        <v>247.7</v>
      </c>
      <c r="E124" s="190">
        <v>226.9</v>
      </c>
      <c r="F124" s="190">
        <v>20.8</v>
      </c>
      <c r="G124" s="190">
        <v>0</v>
      </c>
      <c r="I124" s="186" t="s">
        <v>1223</v>
      </c>
      <c r="J124" s="188">
        <v>0</v>
      </c>
      <c r="K124" s="188">
        <v>0</v>
      </c>
      <c r="L124" s="188">
        <v>119.7</v>
      </c>
      <c r="M124" s="188">
        <v>119.7</v>
      </c>
      <c r="N124" s="188">
        <v>0</v>
      </c>
      <c r="O124" s="188">
        <v>0</v>
      </c>
      <c r="P124" s="193"/>
      <c r="Q124" s="202" t="s">
        <v>1979</v>
      </c>
      <c r="R124" s="205">
        <v>0</v>
      </c>
      <c r="S124" s="205">
        <v>0</v>
      </c>
      <c r="T124" s="205">
        <v>22</v>
      </c>
      <c r="U124" s="205">
        <v>22</v>
      </c>
      <c r="V124" s="205">
        <v>0</v>
      </c>
      <c r="W124" s="205">
        <v>0</v>
      </c>
    </row>
    <row r="125" spans="1:23" s="7" customFormat="1">
      <c r="A125" s="189" t="s">
        <v>832</v>
      </c>
      <c r="B125" s="190">
        <v>0</v>
      </c>
      <c r="C125" s="190">
        <v>0</v>
      </c>
      <c r="D125" s="190">
        <v>110</v>
      </c>
      <c r="E125" s="190">
        <v>110</v>
      </c>
      <c r="F125" s="190">
        <v>0</v>
      </c>
      <c r="G125" s="190">
        <v>0</v>
      </c>
      <c r="I125" s="186" t="s">
        <v>1224</v>
      </c>
      <c r="J125" s="188">
        <v>0</v>
      </c>
      <c r="K125" s="188">
        <v>0</v>
      </c>
      <c r="L125" s="188">
        <v>115.2</v>
      </c>
      <c r="M125" s="188">
        <v>115.2</v>
      </c>
      <c r="N125" s="188">
        <v>0</v>
      </c>
      <c r="O125" s="188">
        <v>0</v>
      </c>
      <c r="P125" s="193"/>
      <c r="Q125" s="202" t="s">
        <v>1980</v>
      </c>
      <c r="R125" s="205">
        <v>0</v>
      </c>
      <c r="S125" s="205">
        <v>0</v>
      </c>
      <c r="T125" s="205">
        <v>60.6</v>
      </c>
      <c r="U125" s="205">
        <v>60.6</v>
      </c>
      <c r="V125" s="205">
        <v>0</v>
      </c>
      <c r="W125" s="205">
        <v>0</v>
      </c>
    </row>
    <row r="126" spans="1:23" s="7" customFormat="1">
      <c r="A126" s="189" t="s">
        <v>833</v>
      </c>
      <c r="B126" s="190">
        <v>0</v>
      </c>
      <c r="C126" s="190">
        <v>0</v>
      </c>
      <c r="D126" s="190">
        <v>66</v>
      </c>
      <c r="E126" s="190">
        <v>66</v>
      </c>
      <c r="F126" s="190">
        <v>0</v>
      </c>
      <c r="G126" s="190">
        <v>0</v>
      </c>
      <c r="I126" s="186" t="s">
        <v>1225</v>
      </c>
      <c r="J126" s="188">
        <v>0</v>
      </c>
      <c r="K126" s="188">
        <v>0</v>
      </c>
      <c r="L126" s="188">
        <v>5498.46</v>
      </c>
      <c r="M126" s="188">
        <v>5498.46</v>
      </c>
      <c r="N126" s="188">
        <v>0</v>
      </c>
      <c r="O126" s="188">
        <v>0</v>
      </c>
      <c r="P126" s="193"/>
      <c r="Q126" s="202" t="s">
        <v>1981</v>
      </c>
      <c r="R126" s="205">
        <v>0</v>
      </c>
      <c r="S126" s="205">
        <v>0</v>
      </c>
      <c r="T126" s="205">
        <v>93</v>
      </c>
      <c r="U126" s="205">
        <v>93</v>
      </c>
      <c r="V126" s="205">
        <v>0</v>
      </c>
      <c r="W126" s="205">
        <v>0</v>
      </c>
    </row>
    <row r="127" spans="1:23" s="7" customFormat="1">
      <c r="A127" s="189" t="s">
        <v>834</v>
      </c>
      <c r="B127" s="190">
        <v>1050</v>
      </c>
      <c r="C127" s="190">
        <v>0</v>
      </c>
      <c r="D127" s="190">
        <v>0</v>
      </c>
      <c r="E127" s="190">
        <v>0</v>
      </c>
      <c r="F127" s="190">
        <v>1050</v>
      </c>
      <c r="G127" s="190">
        <v>0</v>
      </c>
      <c r="I127" s="186" t="s">
        <v>1226</v>
      </c>
      <c r="J127" s="188">
        <v>0</v>
      </c>
      <c r="K127" s="188">
        <v>0</v>
      </c>
      <c r="L127" s="188">
        <v>76</v>
      </c>
      <c r="M127" s="188">
        <v>76</v>
      </c>
      <c r="N127" s="188">
        <v>0</v>
      </c>
      <c r="O127" s="188">
        <v>0</v>
      </c>
      <c r="P127" s="193"/>
      <c r="Q127" s="202" t="s">
        <v>1982</v>
      </c>
      <c r="R127" s="205">
        <v>0</v>
      </c>
      <c r="S127" s="205">
        <v>0</v>
      </c>
      <c r="T127" s="205">
        <v>200</v>
      </c>
      <c r="U127" s="205">
        <v>200</v>
      </c>
      <c r="V127" s="205">
        <v>0</v>
      </c>
      <c r="W127" s="205">
        <v>0</v>
      </c>
    </row>
    <row r="128" spans="1:23" s="7" customFormat="1">
      <c r="A128" s="189" t="s">
        <v>835</v>
      </c>
      <c r="B128" s="190">
        <v>220</v>
      </c>
      <c r="C128" s="190">
        <v>0</v>
      </c>
      <c r="D128" s="190">
        <v>0</v>
      </c>
      <c r="E128" s="190">
        <v>220</v>
      </c>
      <c r="F128" s="190">
        <v>0</v>
      </c>
      <c r="G128" s="190">
        <v>0</v>
      </c>
      <c r="I128" s="186" t="s">
        <v>1227</v>
      </c>
      <c r="J128" s="188">
        <v>0</v>
      </c>
      <c r="K128" s="188">
        <v>0</v>
      </c>
      <c r="L128" s="188">
        <v>50404.779399999999</v>
      </c>
      <c r="M128" s="188">
        <v>50404.779399999999</v>
      </c>
      <c r="N128" s="188">
        <v>0</v>
      </c>
      <c r="O128" s="188">
        <v>0</v>
      </c>
      <c r="P128" s="193"/>
      <c r="Q128" s="202" t="s">
        <v>1983</v>
      </c>
      <c r="R128" s="205">
        <v>0</v>
      </c>
      <c r="S128" s="205">
        <v>0</v>
      </c>
      <c r="T128" s="205">
        <v>37.255000000000003</v>
      </c>
      <c r="U128" s="205">
        <v>37.255000000000003</v>
      </c>
      <c r="V128" s="205">
        <v>0</v>
      </c>
      <c r="W128" s="205">
        <v>0</v>
      </c>
    </row>
    <row r="129" spans="1:23" s="7" customFormat="1">
      <c r="A129" s="189" t="s">
        <v>836</v>
      </c>
      <c r="B129" s="190">
        <v>42.3</v>
      </c>
      <c r="C129" s="190">
        <v>0</v>
      </c>
      <c r="D129" s="190">
        <v>32.4</v>
      </c>
      <c r="E129" s="190">
        <v>74.7</v>
      </c>
      <c r="F129" s="190">
        <v>0</v>
      </c>
      <c r="G129" s="190">
        <v>0</v>
      </c>
      <c r="I129" s="186" t="s">
        <v>1228</v>
      </c>
      <c r="J129" s="188">
        <v>0</v>
      </c>
      <c r="K129" s="188">
        <v>0</v>
      </c>
      <c r="L129" s="188">
        <v>191.4</v>
      </c>
      <c r="M129" s="188">
        <v>191.4</v>
      </c>
      <c r="N129" s="188">
        <v>0</v>
      </c>
      <c r="O129" s="188">
        <v>0</v>
      </c>
      <c r="P129" s="193"/>
      <c r="Q129" s="202" t="s">
        <v>1984</v>
      </c>
      <c r="R129" s="205">
        <v>0</v>
      </c>
      <c r="S129" s="205">
        <v>0</v>
      </c>
      <c r="T129" s="205">
        <v>32</v>
      </c>
      <c r="U129" s="205">
        <v>32</v>
      </c>
      <c r="V129" s="205">
        <v>0</v>
      </c>
      <c r="W129" s="205">
        <v>0</v>
      </c>
    </row>
    <row r="130" spans="1:23" s="7" customFormat="1">
      <c r="A130" s="189" t="s">
        <v>837</v>
      </c>
      <c r="B130" s="190">
        <v>0</v>
      </c>
      <c r="C130" s="190">
        <v>0</v>
      </c>
      <c r="D130" s="190">
        <v>347.2</v>
      </c>
      <c r="E130" s="190">
        <v>347.2</v>
      </c>
      <c r="F130" s="190">
        <v>0</v>
      </c>
      <c r="G130" s="190">
        <v>0</v>
      </c>
      <c r="I130" s="186" t="s">
        <v>1229</v>
      </c>
      <c r="J130" s="188">
        <v>0</v>
      </c>
      <c r="K130" s="188">
        <v>0</v>
      </c>
      <c r="L130" s="188">
        <v>7428.3090000000002</v>
      </c>
      <c r="M130" s="188">
        <v>7428.3090000000002</v>
      </c>
      <c r="N130" s="188">
        <v>0</v>
      </c>
      <c r="O130" s="188">
        <v>0</v>
      </c>
      <c r="P130" s="193"/>
      <c r="Q130" s="202" t="s">
        <v>1985</v>
      </c>
      <c r="R130" s="205">
        <v>0</v>
      </c>
      <c r="S130" s="205">
        <v>0</v>
      </c>
      <c r="T130" s="205">
        <v>14.4</v>
      </c>
      <c r="U130" s="205">
        <v>14.4</v>
      </c>
      <c r="V130" s="205">
        <v>0</v>
      </c>
      <c r="W130" s="205">
        <v>0</v>
      </c>
    </row>
    <row r="131" spans="1:23" s="7" customFormat="1">
      <c r="A131" s="189" t="s">
        <v>838</v>
      </c>
      <c r="B131" s="190">
        <v>0</v>
      </c>
      <c r="C131" s="190">
        <v>0</v>
      </c>
      <c r="D131" s="190">
        <v>720</v>
      </c>
      <c r="E131" s="190">
        <v>720</v>
      </c>
      <c r="F131" s="190">
        <v>0</v>
      </c>
      <c r="G131" s="190">
        <v>0</v>
      </c>
      <c r="I131" s="186" t="s">
        <v>1230</v>
      </c>
      <c r="J131" s="188">
        <v>0</v>
      </c>
      <c r="K131" s="188">
        <v>0</v>
      </c>
      <c r="L131" s="188">
        <v>29.5</v>
      </c>
      <c r="M131" s="188">
        <v>29.5</v>
      </c>
      <c r="N131" s="188">
        <v>0</v>
      </c>
      <c r="O131" s="188">
        <v>0</v>
      </c>
      <c r="P131" s="193"/>
      <c r="Q131" s="202" t="s">
        <v>1986</v>
      </c>
      <c r="R131" s="205">
        <v>0</v>
      </c>
      <c r="S131" s="205">
        <v>0</v>
      </c>
      <c r="T131" s="205">
        <v>4.7</v>
      </c>
      <c r="U131" s="205">
        <v>0</v>
      </c>
      <c r="V131" s="205">
        <v>4.7</v>
      </c>
      <c r="W131" s="205">
        <v>0</v>
      </c>
    </row>
    <row r="132" spans="1:23" s="7" customFormat="1">
      <c r="A132" s="189" t="s">
        <v>839</v>
      </c>
      <c r="B132" s="190">
        <v>0</v>
      </c>
      <c r="C132" s="190">
        <v>0</v>
      </c>
      <c r="D132" s="190">
        <v>1129.4000000000001</v>
      </c>
      <c r="E132" s="190">
        <v>1129.4000000000001</v>
      </c>
      <c r="F132" s="190">
        <v>0</v>
      </c>
      <c r="G132" s="190">
        <v>0</v>
      </c>
      <c r="I132" s="186" t="s">
        <v>1231</v>
      </c>
      <c r="J132" s="188">
        <v>2937.16752</v>
      </c>
      <c r="K132" s="188">
        <v>0</v>
      </c>
      <c r="L132" s="188">
        <v>0</v>
      </c>
      <c r="M132" s="188">
        <v>0</v>
      </c>
      <c r="N132" s="188">
        <v>2937.16752</v>
      </c>
      <c r="O132" s="188">
        <v>0</v>
      </c>
      <c r="P132" s="193"/>
      <c r="Q132" s="202" t="s">
        <v>1987</v>
      </c>
      <c r="R132" s="205">
        <v>0</v>
      </c>
      <c r="S132" s="205">
        <v>0</v>
      </c>
      <c r="T132" s="205">
        <v>24.99</v>
      </c>
      <c r="U132" s="205">
        <v>24.99</v>
      </c>
      <c r="V132" s="205">
        <v>0</v>
      </c>
      <c r="W132" s="205">
        <v>0</v>
      </c>
    </row>
    <row r="133" spans="1:23" s="7" customFormat="1">
      <c r="A133" s="189" t="s">
        <v>840</v>
      </c>
      <c r="B133" s="190">
        <v>0</v>
      </c>
      <c r="C133" s="190">
        <v>0</v>
      </c>
      <c r="D133" s="190">
        <v>225</v>
      </c>
      <c r="E133" s="190">
        <v>225</v>
      </c>
      <c r="F133" s="190">
        <v>0</v>
      </c>
      <c r="G133" s="190">
        <v>0</v>
      </c>
      <c r="I133" s="186" t="s">
        <v>1232</v>
      </c>
      <c r="J133" s="188">
        <v>0</v>
      </c>
      <c r="K133" s="188">
        <v>0</v>
      </c>
      <c r="L133" s="188">
        <v>9411.67</v>
      </c>
      <c r="M133" s="188">
        <v>9411.67</v>
      </c>
      <c r="N133" s="188">
        <v>0</v>
      </c>
      <c r="O133" s="188">
        <v>0</v>
      </c>
      <c r="P133" s="193"/>
      <c r="Q133" s="202" t="s">
        <v>1988</v>
      </c>
      <c r="R133" s="205">
        <v>0</v>
      </c>
      <c r="S133" s="205">
        <v>0</v>
      </c>
      <c r="T133" s="205">
        <v>583.79999999999995</v>
      </c>
      <c r="U133" s="205">
        <v>583.79999999999995</v>
      </c>
      <c r="V133" s="205">
        <v>0</v>
      </c>
      <c r="W133" s="205">
        <v>0</v>
      </c>
    </row>
    <row r="134" spans="1:23" s="7" customFormat="1">
      <c r="A134" s="189" t="s">
        <v>841</v>
      </c>
      <c r="B134" s="190">
        <v>0</v>
      </c>
      <c r="C134" s="190">
        <v>0</v>
      </c>
      <c r="D134" s="190">
        <v>130500.31328</v>
      </c>
      <c r="E134" s="190">
        <v>130500.31328</v>
      </c>
      <c r="F134" s="190">
        <v>0</v>
      </c>
      <c r="G134" s="190">
        <v>0</v>
      </c>
      <c r="I134" s="186" t="s">
        <v>1233</v>
      </c>
      <c r="J134" s="188">
        <v>0</v>
      </c>
      <c r="K134" s="188">
        <v>0</v>
      </c>
      <c r="L134" s="188">
        <v>1120</v>
      </c>
      <c r="M134" s="188">
        <v>1120</v>
      </c>
      <c r="N134" s="188">
        <v>0</v>
      </c>
      <c r="O134" s="188">
        <v>0</v>
      </c>
      <c r="P134" s="193"/>
      <c r="Q134" s="202" t="s">
        <v>1989</v>
      </c>
      <c r="R134" s="205">
        <v>0</v>
      </c>
      <c r="S134" s="205">
        <v>0</v>
      </c>
      <c r="T134" s="205">
        <v>308</v>
      </c>
      <c r="U134" s="205">
        <v>308</v>
      </c>
      <c r="V134" s="205">
        <v>0</v>
      </c>
      <c r="W134" s="205">
        <v>0</v>
      </c>
    </row>
    <row r="135" spans="1:23" s="7" customFormat="1">
      <c r="A135" s="189" t="s">
        <v>842</v>
      </c>
      <c r="B135" s="190">
        <v>0</v>
      </c>
      <c r="C135" s="190">
        <v>0</v>
      </c>
      <c r="D135" s="190">
        <v>1265.5899999999999</v>
      </c>
      <c r="E135" s="190">
        <v>1265.5899999999999</v>
      </c>
      <c r="F135" s="190">
        <v>0</v>
      </c>
      <c r="G135" s="190">
        <v>0</v>
      </c>
      <c r="I135" s="186" t="s">
        <v>1234</v>
      </c>
      <c r="J135" s="188">
        <v>0</v>
      </c>
      <c r="K135" s="188">
        <v>0</v>
      </c>
      <c r="L135" s="188">
        <v>80677.62</v>
      </c>
      <c r="M135" s="188">
        <v>80677.62</v>
      </c>
      <c r="N135" s="188">
        <v>0</v>
      </c>
      <c r="O135" s="188">
        <v>0</v>
      </c>
      <c r="P135" s="193"/>
      <c r="Q135" s="202" t="s">
        <v>1990</v>
      </c>
      <c r="R135" s="205">
        <v>0</v>
      </c>
      <c r="S135" s="205">
        <v>0</v>
      </c>
      <c r="T135" s="205">
        <v>134.22</v>
      </c>
      <c r="U135" s="205">
        <v>0</v>
      </c>
      <c r="V135" s="205">
        <v>134.22</v>
      </c>
      <c r="W135" s="205">
        <v>0</v>
      </c>
    </row>
    <row r="136" spans="1:23" s="7" customFormat="1">
      <c r="A136" s="189" t="s">
        <v>843</v>
      </c>
      <c r="B136" s="190">
        <v>0</v>
      </c>
      <c r="C136" s="190">
        <v>0</v>
      </c>
      <c r="D136" s="190">
        <v>770</v>
      </c>
      <c r="E136" s="190">
        <v>770</v>
      </c>
      <c r="F136" s="190">
        <v>0</v>
      </c>
      <c r="G136" s="190">
        <v>0</v>
      </c>
      <c r="I136" s="186" t="s">
        <v>1235</v>
      </c>
      <c r="J136" s="188">
        <v>578.1</v>
      </c>
      <c r="K136" s="188">
        <v>0</v>
      </c>
      <c r="L136" s="188">
        <v>0</v>
      </c>
      <c r="M136" s="188">
        <v>0</v>
      </c>
      <c r="N136" s="188">
        <v>578.1</v>
      </c>
      <c r="O136" s="188">
        <v>0</v>
      </c>
      <c r="P136" s="193"/>
      <c r="Q136" s="202" t="s">
        <v>1991</v>
      </c>
      <c r="R136" s="205">
        <v>0</v>
      </c>
      <c r="S136" s="205">
        <v>0</v>
      </c>
      <c r="T136" s="205">
        <v>432</v>
      </c>
      <c r="U136" s="205">
        <v>432</v>
      </c>
      <c r="V136" s="205">
        <v>0</v>
      </c>
      <c r="W136" s="205">
        <v>0</v>
      </c>
    </row>
    <row r="137" spans="1:23" s="7" customFormat="1">
      <c r="A137" s="189" t="s">
        <v>844</v>
      </c>
      <c r="B137" s="190">
        <v>0</v>
      </c>
      <c r="C137" s="190">
        <v>0</v>
      </c>
      <c r="D137" s="190">
        <v>127.5</v>
      </c>
      <c r="E137" s="190">
        <v>127.5</v>
      </c>
      <c r="F137" s="190">
        <v>0</v>
      </c>
      <c r="G137" s="190">
        <v>0</v>
      </c>
      <c r="I137" s="186" t="s">
        <v>1236</v>
      </c>
      <c r="J137" s="188">
        <v>0</v>
      </c>
      <c r="K137" s="188">
        <v>0</v>
      </c>
      <c r="L137" s="188">
        <v>224.6</v>
      </c>
      <c r="M137" s="188">
        <v>224.6</v>
      </c>
      <c r="N137" s="188">
        <v>0</v>
      </c>
      <c r="O137" s="188">
        <v>0</v>
      </c>
      <c r="P137" s="193"/>
      <c r="Q137" s="202" t="s">
        <v>1017</v>
      </c>
      <c r="R137" s="205">
        <v>0</v>
      </c>
      <c r="S137" s="205">
        <v>0</v>
      </c>
      <c r="T137" s="205">
        <v>12.6</v>
      </c>
      <c r="U137" s="205">
        <v>12.6</v>
      </c>
      <c r="V137" s="205">
        <v>0</v>
      </c>
      <c r="W137" s="205">
        <v>0</v>
      </c>
    </row>
    <row r="138" spans="1:23" s="7" customFormat="1">
      <c r="A138" s="189" t="s">
        <v>845</v>
      </c>
      <c r="B138" s="190">
        <v>0</v>
      </c>
      <c r="C138" s="190">
        <v>0</v>
      </c>
      <c r="D138" s="190">
        <v>9975</v>
      </c>
      <c r="E138" s="190">
        <v>9975</v>
      </c>
      <c r="F138" s="190">
        <v>0</v>
      </c>
      <c r="G138" s="190">
        <v>0</v>
      </c>
      <c r="I138" s="186" t="s">
        <v>1237</v>
      </c>
      <c r="J138" s="188">
        <v>0</v>
      </c>
      <c r="K138" s="188">
        <v>0</v>
      </c>
      <c r="L138" s="188">
        <v>42.4</v>
      </c>
      <c r="M138" s="188">
        <v>42.4</v>
      </c>
      <c r="N138" s="188">
        <v>0</v>
      </c>
      <c r="O138" s="188">
        <v>0</v>
      </c>
      <c r="P138" s="193"/>
      <c r="Q138" s="202" t="s">
        <v>1992</v>
      </c>
      <c r="R138" s="205">
        <v>0</v>
      </c>
      <c r="S138" s="205">
        <v>0</v>
      </c>
      <c r="T138" s="205">
        <v>49.96</v>
      </c>
      <c r="U138" s="205">
        <v>49.96</v>
      </c>
      <c r="V138" s="205">
        <v>0</v>
      </c>
      <c r="W138" s="205">
        <v>0</v>
      </c>
    </row>
    <row r="139" spans="1:23" s="7" customFormat="1">
      <c r="A139" s="189" t="s">
        <v>846</v>
      </c>
      <c r="B139" s="190">
        <v>0</v>
      </c>
      <c r="C139" s="190">
        <v>0</v>
      </c>
      <c r="D139" s="190">
        <v>5.5</v>
      </c>
      <c r="E139" s="190">
        <v>2.75</v>
      </c>
      <c r="F139" s="190">
        <v>2.75</v>
      </c>
      <c r="G139" s="190">
        <v>0</v>
      </c>
      <c r="I139" s="186" t="s">
        <v>1238</v>
      </c>
      <c r="J139" s="188">
        <v>0</v>
      </c>
      <c r="K139" s="188">
        <v>0</v>
      </c>
      <c r="L139" s="188">
        <v>7500</v>
      </c>
      <c r="M139" s="188">
        <v>7500</v>
      </c>
      <c r="N139" s="188">
        <v>0</v>
      </c>
      <c r="O139" s="188">
        <v>0</v>
      </c>
      <c r="P139" s="193"/>
      <c r="Q139" s="202" t="s">
        <v>1993</v>
      </c>
      <c r="R139" s="205">
        <v>0</v>
      </c>
      <c r="S139" s="205">
        <v>0</v>
      </c>
      <c r="T139" s="205">
        <v>216</v>
      </c>
      <c r="U139" s="205">
        <v>230.4</v>
      </c>
      <c r="V139" s="206">
        <v>-14.4</v>
      </c>
      <c r="W139" s="205">
        <v>0</v>
      </c>
    </row>
    <row r="140" spans="1:23" s="7" customFormat="1">
      <c r="A140" s="189" t="s">
        <v>847</v>
      </c>
      <c r="B140" s="190">
        <v>0</v>
      </c>
      <c r="C140" s="190">
        <v>0</v>
      </c>
      <c r="D140" s="190">
        <v>54.96</v>
      </c>
      <c r="E140" s="190">
        <v>54.96</v>
      </c>
      <c r="F140" s="190">
        <v>0</v>
      </c>
      <c r="G140" s="190">
        <v>0</v>
      </c>
      <c r="I140" s="186" t="s">
        <v>1239</v>
      </c>
      <c r="J140" s="188">
        <v>0</v>
      </c>
      <c r="K140" s="188">
        <v>0</v>
      </c>
      <c r="L140" s="188">
        <v>18.776</v>
      </c>
      <c r="M140" s="188">
        <v>18.776</v>
      </c>
      <c r="N140" s="188">
        <v>0</v>
      </c>
      <c r="O140" s="188">
        <v>0</v>
      </c>
      <c r="P140" s="193"/>
      <c r="Q140" s="202" t="s">
        <v>1994</v>
      </c>
      <c r="R140" s="205">
        <v>0</v>
      </c>
      <c r="S140" s="205">
        <v>0</v>
      </c>
      <c r="T140" s="205">
        <v>75.650000000000006</v>
      </c>
      <c r="U140" s="205">
        <v>75.650000000000006</v>
      </c>
      <c r="V140" s="205">
        <v>0</v>
      </c>
      <c r="W140" s="205">
        <v>0</v>
      </c>
    </row>
    <row r="141" spans="1:23" s="7" customFormat="1">
      <c r="A141" s="189" t="s">
        <v>848</v>
      </c>
      <c r="B141" s="190">
        <v>0</v>
      </c>
      <c r="C141" s="190">
        <v>0</v>
      </c>
      <c r="D141" s="190">
        <v>470</v>
      </c>
      <c r="E141" s="190">
        <v>470</v>
      </c>
      <c r="F141" s="190">
        <v>0</v>
      </c>
      <c r="G141" s="190">
        <v>0</v>
      </c>
      <c r="I141" s="186" t="s">
        <v>1240</v>
      </c>
      <c r="J141" s="188">
        <v>0</v>
      </c>
      <c r="K141" s="188">
        <v>0</v>
      </c>
      <c r="L141" s="188">
        <v>9</v>
      </c>
      <c r="M141" s="188">
        <v>9</v>
      </c>
      <c r="N141" s="188">
        <v>0</v>
      </c>
      <c r="O141" s="188">
        <v>0</v>
      </c>
      <c r="P141" s="193"/>
      <c r="Q141" s="202" t="s">
        <v>1995</v>
      </c>
      <c r="R141" s="205">
        <v>0</v>
      </c>
      <c r="S141" s="205">
        <v>0</v>
      </c>
      <c r="T141" s="205">
        <v>638.6</v>
      </c>
      <c r="U141" s="205">
        <v>638.6</v>
      </c>
      <c r="V141" s="205">
        <v>0</v>
      </c>
      <c r="W141" s="205">
        <v>0</v>
      </c>
    </row>
    <row r="142" spans="1:23" s="7" customFormat="1">
      <c r="A142" s="189" t="s">
        <v>849</v>
      </c>
      <c r="B142" s="190">
        <v>0</v>
      </c>
      <c r="C142" s="190">
        <v>0</v>
      </c>
      <c r="D142" s="190">
        <v>944.9</v>
      </c>
      <c r="E142" s="190">
        <v>944.79200000000003</v>
      </c>
      <c r="F142" s="190">
        <v>0.108</v>
      </c>
      <c r="G142" s="190">
        <v>0</v>
      </c>
      <c r="I142" s="186" t="s">
        <v>1241</v>
      </c>
      <c r="J142" s="188">
        <v>0</v>
      </c>
      <c r="K142" s="188">
        <v>0</v>
      </c>
      <c r="L142" s="188">
        <v>520.5</v>
      </c>
      <c r="M142" s="188">
        <v>520.5</v>
      </c>
      <c r="N142" s="188">
        <v>0</v>
      </c>
      <c r="O142" s="188">
        <v>0</v>
      </c>
      <c r="P142" s="193"/>
      <c r="Q142" s="202" t="s">
        <v>1996</v>
      </c>
      <c r="R142" s="205">
        <v>0</v>
      </c>
      <c r="S142" s="205">
        <v>0</v>
      </c>
      <c r="T142" s="205">
        <v>77.3</v>
      </c>
      <c r="U142" s="205">
        <v>77.3</v>
      </c>
      <c r="V142" s="205">
        <v>0</v>
      </c>
      <c r="W142" s="205">
        <v>0</v>
      </c>
    </row>
    <row r="143" spans="1:23" s="7" customFormat="1">
      <c r="A143" s="189" t="s">
        <v>850</v>
      </c>
      <c r="B143" s="190">
        <v>0</v>
      </c>
      <c r="C143" s="190">
        <v>0</v>
      </c>
      <c r="D143" s="190">
        <v>290</v>
      </c>
      <c r="E143" s="190">
        <v>290</v>
      </c>
      <c r="F143" s="190">
        <v>0</v>
      </c>
      <c r="G143" s="190">
        <v>0</v>
      </c>
      <c r="I143" s="186" t="s">
        <v>1242</v>
      </c>
      <c r="J143" s="188">
        <v>0</v>
      </c>
      <c r="K143" s="188">
        <v>0</v>
      </c>
      <c r="L143" s="188">
        <v>505.6</v>
      </c>
      <c r="M143" s="188">
        <v>430</v>
      </c>
      <c r="N143" s="188">
        <v>75.599999999999994</v>
      </c>
      <c r="O143" s="188">
        <v>0</v>
      </c>
      <c r="P143" s="193"/>
      <c r="Q143" s="202" t="s">
        <v>1997</v>
      </c>
      <c r="R143" s="205">
        <v>0</v>
      </c>
      <c r="S143" s="205">
        <v>0</v>
      </c>
      <c r="T143" s="205">
        <v>46859.382140000002</v>
      </c>
      <c r="U143" s="205">
        <v>46320.902139999998</v>
      </c>
      <c r="V143" s="208">
        <v>538.48</v>
      </c>
      <c r="W143" s="205">
        <v>0</v>
      </c>
    </row>
    <row r="144" spans="1:23" s="7" customFormat="1">
      <c r="A144" s="189" t="s">
        <v>851</v>
      </c>
      <c r="B144" s="190">
        <v>3725.5124900000001</v>
      </c>
      <c r="C144" s="190">
        <v>0</v>
      </c>
      <c r="D144" s="190">
        <v>61.2864</v>
      </c>
      <c r="E144" s="190">
        <v>3786.79889</v>
      </c>
      <c r="F144" s="190">
        <v>0</v>
      </c>
      <c r="G144" s="190">
        <v>0</v>
      </c>
      <c r="I144" s="186" t="s">
        <v>1243</v>
      </c>
      <c r="J144" s="188">
        <v>0</v>
      </c>
      <c r="K144" s="188">
        <v>0</v>
      </c>
      <c r="L144" s="188">
        <v>206.8</v>
      </c>
      <c r="M144" s="188">
        <v>206.8</v>
      </c>
      <c r="N144" s="188">
        <v>0</v>
      </c>
      <c r="O144" s="188">
        <v>0</v>
      </c>
      <c r="P144" s="193"/>
      <c r="Q144" s="202" t="s">
        <v>1998</v>
      </c>
      <c r="R144" s="205">
        <v>0</v>
      </c>
      <c r="S144" s="205">
        <v>0</v>
      </c>
      <c r="T144" s="205">
        <v>180.6</v>
      </c>
      <c r="U144" s="205">
        <v>180.6</v>
      </c>
      <c r="V144" s="205">
        <v>0</v>
      </c>
      <c r="W144" s="205">
        <v>0</v>
      </c>
    </row>
    <row r="145" spans="1:23" s="7" customFormat="1">
      <c r="A145" s="189" t="s">
        <v>852</v>
      </c>
      <c r="B145" s="190">
        <v>0</v>
      </c>
      <c r="C145" s="190">
        <v>0</v>
      </c>
      <c r="D145" s="190">
        <v>59.475000000000001</v>
      </c>
      <c r="E145" s="190">
        <v>59.475000000000001</v>
      </c>
      <c r="F145" s="190">
        <v>0</v>
      </c>
      <c r="G145" s="190">
        <v>0</v>
      </c>
      <c r="I145" s="186" t="s">
        <v>1244</v>
      </c>
      <c r="J145" s="188">
        <v>0</v>
      </c>
      <c r="K145" s="188">
        <v>0</v>
      </c>
      <c r="L145" s="188">
        <v>340.5</v>
      </c>
      <c r="M145" s="188">
        <v>340.5</v>
      </c>
      <c r="N145" s="188">
        <v>0</v>
      </c>
      <c r="O145" s="188">
        <v>0</v>
      </c>
      <c r="P145" s="193"/>
      <c r="Q145" s="202" t="s">
        <v>1999</v>
      </c>
      <c r="R145" s="205">
        <v>0</v>
      </c>
      <c r="S145" s="205">
        <v>0</v>
      </c>
      <c r="T145" s="205">
        <v>967.95399999999995</v>
      </c>
      <c r="U145" s="205">
        <v>953.70399999999995</v>
      </c>
      <c r="V145" s="205">
        <v>14.25</v>
      </c>
      <c r="W145" s="205">
        <v>0</v>
      </c>
    </row>
    <row r="146" spans="1:23" s="7" customFormat="1">
      <c r="A146" s="189" t="s">
        <v>853</v>
      </c>
      <c r="B146" s="190">
        <v>0</v>
      </c>
      <c r="C146" s="190">
        <v>0</v>
      </c>
      <c r="D146" s="190">
        <v>2543.6905000000002</v>
      </c>
      <c r="E146" s="190">
        <v>2543.6905000000002</v>
      </c>
      <c r="F146" s="190">
        <v>0</v>
      </c>
      <c r="G146" s="190">
        <v>0</v>
      </c>
      <c r="I146" s="186" t="s">
        <v>1245</v>
      </c>
      <c r="J146" s="188">
        <v>3.0000000000000001E-3</v>
      </c>
      <c r="K146" s="188">
        <v>0</v>
      </c>
      <c r="L146" s="188">
        <v>1774.6236000000001</v>
      </c>
      <c r="M146" s="188">
        <v>1774.6236000000001</v>
      </c>
      <c r="N146" s="188">
        <v>3.0000000000000001E-3</v>
      </c>
      <c r="O146" s="188">
        <v>0</v>
      </c>
      <c r="P146" s="193"/>
      <c r="Q146" s="202" t="s">
        <v>1707</v>
      </c>
      <c r="R146" s="205">
        <v>0</v>
      </c>
      <c r="S146" s="205">
        <v>0</v>
      </c>
      <c r="T146" s="205">
        <v>12683.534</v>
      </c>
      <c r="U146" s="205">
        <v>12556.739</v>
      </c>
      <c r="V146" s="205">
        <v>126.795</v>
      </c>
      <c r="W146" s="205">
        <v>0</v>
      </c>
    </row>
    <row r="147" spans="1:23" s="7" customFormat="1">
      <c r="A147" s="189" t="s">
        <v>854</v>
      </c>
      <c r="B147" s="190">
        <v>0</v>
      </c>
      <c r="C147" s="190">
        <v>0</v>
      </c>
      <c r="D147" s="190">
        <v>12176.42959</v>
      </c>
      <c r="E147" s="190">
        <v>10176.42959</v>
      </c>
      <c r="F147" s="190">
        <v>2000</v>
      </c>
      <c r="G147" s="190">
        <v>0</v>
      </c>
      <c r="I147" s="186" t="s">
        <v>1246</v>
      </c>
      <c r="J147" s="188">
        <v>100.00449999999999</v>
      </c>
      <c r="K147" s="188">
        <v>0</v>
      </c>
      <c r="L147" s="188">
        <v>0</v>
      </c>
      <c r="M147" s="188">
        <v>0</v>
      </c>
      <c r="N147" s="188">
        <v>100.00449999999999</v>
      </c>
      <c r="O147" s="188">
        <v>0</v>
      </c>
      <c r="P147" s="193"/>
      <c r="Q147" s="202" t="s">
        <v>2000</v>
      </c>
      <c r="R147" s="205">
        <v>0</v>
      </c>
      <c r="S147" s="205">
        <v>0</v>
      </c>
      <c r="T147" s="205">
        <v>307.89999999999998</v>
      </c>
      <c r="U147" s="205">
        <v>307.89999999999998</v>
      </c>
      <c r="V147" s="205">
        <v>0</v>
      </c>
      <c r="W147" s="205">
        <v>0</v>
      </c>
    </row>
    <row r="148" spans="1:23" s="7" customFormat="1">
      <c r="A148" s="189" t="s">
        <v>855</v>
      </c>
      <c r="B148" s="190">
        <v>0</v>
      </c>
      <c r="C148" s="190">
        <v>0</v>
      </c>
      <c r="D148" s="190">
        <v>70.599999999999994</v>
      </c>
      <c r="E148" s="190">
        <v>70.599999999999994</v>
      </c>
      <c r="F148" s="190">
        <v>0</v>
      </c>
      <c r="G148" s="190">
        <v>0</v>
      </c>
      <c r="I148" s="186" t="s">
        <v>1247</v>
      </c>
      <c r="J148" s="188">
        <v>0</v>
      </c>
      <c r="K148" s="188">
        <v>0</v>
      </c>
      <c r="L148" s="188">
        <v>188.5</v>
      </c>
      <c r="M148" s="188">
        <v>188.5</v>
      </c>
      <c r="N148" s="188">
        <v>0</v>
      </c>
      <c r="O148" s="188">
        <v>0</v>
      </c>
      <c r="P148" s="193"/>
      <c r="Q148" s="202" t="s">
        <v>2001</v>
      </c>
      <c r="R148" s="205">
        <v>0</v>
      </c>
      <c r="S148" s="205">
        <v>0</v>
      </c>
      <c r="T148" s="205">
        <v>6746.35</v>
      </c>
      <c r="U148" s="205">
        <v>6746.35</v>
      </c>
      <c r="V148" s="205">
        <v>0</v>
      </c>
      <c r="W148" s="205">
        <v>0</v>
      </c>
    </row>
    <row r="149" spans="1:23" s="7" customFormat="1">
      <c r="A149" s="189" t="s">
        <v>705</v>
      </c>
      <c r="B149" s="190">
        <v>0</v>
      </c>
      <c r="C149" s="190">
        <v>0</v>
      </c>
      <c r="D149" s="190">
        <v>19.5</v>
      </c>
      <c r="E149" s="190">
        <v>0</v>
      </c>
      <c r="F149" s="190">
        <v>19.5</v>
      </c>
      <c r="G149" s="190">
        <v>0</v>
      </c>
      <c r="I149" s="186" t="s">
        <v>1248</v>
      </c>
      <c r="J149" s="188">
        <v>77170.8</v>
      </c>
      <c r="K149" s="188">
        <v>0</v>
      </c>
      <c r="L149" s="188">
        <v>348757.8</v>
      </c>
      <c r="M149" s="188">
        <v>391527.8</v>
      </c>
      <c r="N149" s="188">
        <v>34400.800000000003</v>
      </c>
      <c r="O149" s="188">
        <v>0</v>
      </c>
      <c r="P149" s="193"/>
      <c r="Q149" s="202" t="s">
        <v>1035</v>
      </c>
      <c r="R149" s="205">
        <v>0</v>
      </c>
      <c r="S149" s="205">
        <v>0</v>
      </c>
      <c r="T149" s="205">
        <v>433.69</v>
      </c>
      <c r="U149" s="205">
        <v>433.69</v>
      </c>
      <c r="V149" s="205">
        <v>0</v>
      </c>
      <c r="W149" s="205">
        <v>0</v>
      </c>
    </row>
    <row r="150" spans="1:23" s="7" customFormat="1">
      <c r="A150" s="189" t="s">
        <v>856</v>
      </c>
      <c r="B150" s="190">
        <v>0</v>
      </c>
      <c r="C150" s="190">
        <v>0</v>
      </c>
      <c r="D150" s="190">
        <v>361.76</v>
      </c>
      <c r="E150" s="190">
        <v>361.76</v>
      </c>
      <c r="F150" s="190">
        <v>0</v>
      </c>
      <c r="G150" s="190">
        <v>0</v>
      </c>
      <c r="I150" s="186" t="s">
        <v>1249</v>
      </c>
      <c r="J150" s="188">
        <v>60</v>
      </c>
      <c r="K150" s="188">
        <v>0</v>
      </c>
      <c r="L150" s="188">
        <v>0</v>
      </c>
      <c r="M150" s="188">
        <v>0</v>
      </c>
      <c r="N150" s="188">
        <v>60</v>
      </c>
      <c r="O150" s="188">
        <v>0</v>
      </c>
      <c r="P150" s="193"/>
      <c r="Q150" s="202" t="s">
        <v>2002</v>
      </c>
      <c r="R150" s="205">
        <v>0</v>
      </c>
      <c r="S150" s="205">
        <v>0</v>
      </c>
      <c r="T150" s="205">
        <v>128.19999999999999</v>
      </c>
      <c r="U150" s="205">
        <v>128.19999999999999</v>
      </c>
      <c r="V150" s="205">
        <v>0</v>
      </c>
      <c r="W150" s="205">
        <v>0</v>
      </c>
    </row>
    <row r="151" spans="1:23" s="7" customFormat="1">
      <c r="A151" s="189" t="s">
        <v>857</v>
      </c>
      <c r="B151" s="190">
        <v>0</v>
      </c>
      <c r="C151" s="190">
        <v>0</v>
      </c>
      <c r="D151" s="190">
        <v>259.74</v>
      </c>
      <c r="E151" s="190">
        <v>259.74</v>
      </c>
      <c r="F151" s="190">
        <v>0</v>
      </c>
      <c r="G151" s="190">
        <v>0</v>
      </c>
      <c r="I151" s="186" t="s">
        <v>1250</v>
      </c>
      <c r="J151" s="188">
        <v>0</v>
      </c>
      <c r="K151" s="188">
        <v>0</v>
      </c>
      <c r="L151" s="188">
        <v>1391.7247500000001</v>
      </c>
      <c r="M151" s="188">
        <v>1391.7247500000001</v>
      </c>
      <c r="N151" s="188">
        <v>0</v>
      </c>
      <c r="O151" s="188">
        <v>0</v>
      </c>
      <c r="P151" s="193"/>
      <c r="Q151" s="202" t="s">
        <v>2003</v>
      </c>
      <c r="R151" s="205">
        <v>0</v>
      </c>
      <c r="S151" s="205">
        <v>0</v>
      </c>
      <c r="T151" s="205">
        <v>65.3</v>
      </c>
      <c r="U151" s="205">
        <v>65.3</v>
      </c>
      <c r="V151" s="205">
        <v>0</v>
      </c>
      <c r="W151" s="205">
        <v>0</v>
      </c>
    </row>
    <row r="152" spans="1:23" s="7" customFormat="1">
      <c r="A152" s="189" t="s">
        <v>858</v>
      </c>
      <c r="B152" s="190">
        <v>0</v>
      </c>
      <c r="C152" s="190">
        <v>0</v>
      </c>
      <c r="D152" s="190">
        <v>1246.5</v>
      </c>
      <c r="E152" s="190">
        <v>0</v>
      </c>
      <c r="F152" s="190">
        <v>1246.5</v>
      </c>
      <c r="G152" s="190">
        <v>0</v>
      </c>
      <c r="I152" s="186" t="s">
        <v>1251</v>
      </c>
      <c r="J152" s="188">
        <v>0</v>
      </c>
      <c r="K152" s="188">
        <v>0</v>
      </c>
      <c r="L152" s="188">
        <v>248468.96958999999</v>
      </c>
      <c r="M152" s="188">
        <v>248468.96958999999</v>
      </c>
      <c r="N152" s="188">
        <v>0</v>
      </c>
      <c r="O152" s="188">
        <v>0</v>
      </c>
      <c r="P152" s="193"/>
      <c r="Q152" s="202" t="s">
        <v>1735</v>
      </c>
      <c r="R152" s="205">
        <v>0</v>
      </c>
      <c r="S152" s="205">
        <v>0</v>
      </c>
      <c r="T152" s="205">
        <v>400.00200000000001</v>
      </c>
      <c r="U152" s="205">
        <v>400</v>
      </c>
      <c r="V152" s="205">
        <v>2E-3</v>
      </c>
      <c r="W152" s="205">
        <v>0</v>
      </c>
    </row>
    <row r="153" spans="1:23" s="7" customFormat="1">
      <c r="A153" s="189" t="s">
        <v>859</v>
      </c>
      <c r="B153" s="190">
        <v>0</v>
      </c>
      <c r="C153" s="190">
        <v>0</v>
      </c>
      <c r="D153" s="190">
        <v>4573</v>
      </c>
      <c r="E153" s="190">
        <v>4161.84</v>
      </c>
      <c r="F153" s="190">
        <v>411.16</v>
      </c>
      <c r="G153" s="190">
        <v>0</v>
      </c>
      <c r="I153" s="186" t="s">
        <v>1252</v>
      </c>
      <c r="J153" s="188">
        <v>0</v>
      </c>
      <c r="K153" s="188">
        <v>0</v>
      </c>
      <c r="L153" s="188">
        <v>17.8</v>
      </c>
      <c r="M153" s="188">
        <v>17.8</v>
      </c>
      <c r="N153" s="188">
        <v>0</v>
      </c>
      <c r="O153" s="188">
        <v>0</v>
      </c>
      <c r="P153" s="193"/>
      <c r="Q153" s="202" t="s">
        <v>1049</v>
      </c>
      <c r="R153" s="205">
        <v>0</v>
      </c>
      <c r="S153" s="205">
        <v>0</v>
      </c>
      <c r="T153" s="205">
        <v>22.7</v>
      </c>
      <c r="U153" s="205">
        <v>22.7</v>
      </c>
      <c r="V153" s="205">
        <v>0</v>
      </c>
      <c r="W153" s="205">
        <v>0</v>
      </c>
    </row>
    <row r="154" spans="1:23" s="7" customFormat="1">
      <c r="A154" s="189" t="s">
        <v>860</v>
      </c>
      <c r="B154" s="190">
        <v>0</v>
      </c>
      <c r="C154" s="190">
        <v>0</v>
      </c>
      <c r="D154" s="190">
        <v>60</v>
      </c>
      <c r="E154" s="190">
        <v>60</v>
      </c>
      <c r="F154" s="190">
        <v>0</v>
      </c>
      <c r="G154" s="190">
        <v>0</v>
      </c>
      <c r="I154" s="186" t="s">
        <v>1253</v>
      </c>
      <c r="J154" s="188">
        <v>0</v>
      </c>
      <c r="K154" s="188">
        <v>0</v>
      </c>
      <c r="L154" s="188">
        <v>412</v>
      </c>
      <c r="M154" s="188">
        <v>412</v>
      </c>
      <c r="N154" s="188">
        <v>0</v>
      </c>
      <c r="O154" s="188">
        <v>0</v>
      </c>
      <c r="P154" s="193"/>
      <c r="Q154" s="202" t="s">
        <v>1050</v>
      </c>
      <c r="R154" s="205">
        <v>0</v>
      </c>
      <c r="S154" s="205">
        <v>0</v>
      </c>
      <c r="T154" s="205">
        <v>771.96799999999996</v>
      </c>
      <c r="U154" s="205">
        <v>688.86599999999999</v>
      </c>
      <c r="V154" s="205">
        <v>83.102000000000004</v>
      </c>
      <c r="W154" s="205">
        <v>0</v>
      </c>
    </row>
    <row r="155" spans="1:23" s="7" customFormat="1">
      <c r="A155" s="189" t="s">
        <v>861</v>
      </c>
      <c r="B155" s="190">
        <v>0</v>
      </c>
      <c r="C155" s="190">
        <v>0</v>
      </c>
      <c r="D155" s="190">
        <v>441.21100000000001</v>
      </c>
      <c r="E155" s="190">
        <v>441.21100000000001</v>
      </c>
      <c r="F155" s="190">
        <v>0</v>
      </c>
      <c r="G155" s="190">
        <v>0</v>
      </c>
      <c r="I155" s="186" t="s">
        <v>1254</v>
      </c>
      <c r="J155" s="188">
        <v>0</v>
      </c>
      <c r="K155" s="188">
        <v>0</v>
      </c>
      <c r="L155" s="188">
        <v>318</v>
      </c>
      <c r="M155" s="188">
        <v>318</v>
      </c>
      <c r="N155" s="188">
        <v>0</v>
      </c>
      <c r="O155" s="188">
        <v>0</v>
      </c>
      <c r="P155" s="193"/>
      <c r="Q155" s="202" t="s">
        <v>1051</v>
      </c>
      <c r="R155" s="205">
        <v>0</v>
      </c>
      <c r="S155" s="205">
        <v>0</v>
      </c>
      <c r="T155" s="205">
        <v>55.75</v>
      </c>
      <c r="U155" s="205">
        <v>55.75</v>
      </c>
      <c r="V155" s="205">
        <v>0</v>
      </c>
      <c r="W155" s="205">
        <v>0</v>
      </c>
    </row>
    <row r="156" spans="1:23" s="7" customFormat="1">
      <c r="A156" s="189" t="s">
        <v>862</v>
      </c>
      <c r="B156" s="190">
        <v>0</v>
      </c>
      <c r="C156" s="190">
        <v>0</v>
      </c>
      <c r="D156" s="190">
        <v>8751.7425000000003</v>
      </c>
      <c r="E156" s="190">
        <v>8751.7425000000003</v>
      </c>
      <c r="F156" s="190">
        <v>0</v>
      </c>
      <c r="G156" s="190">
        <v>0</v>
      </c>
      <c r="I156" s="186" t="s">
        <v>1255</v>
      </c>
      <c r="J156" s="188">
        <v>0</v>
      </c>
      <c r="K156" s="188">
        <v>0</v>
      </c>
      <c r="L156" s="188">
        <v>536.75</v>
      </c>
      <c r="M156" s="188">
        <v>536.75</v>
      </c>
      <c r="N156" s="188">
        <v>0</v>
      </c>
      <c r="O156" s="188">
        <v>0</v>
      </c>
      <c r="P156" s="193"/>
      <c r="Q156" s="202" t="s">
        <v>2004</v>
      </c>
      <c r="R156" s="205">
        <v>0</v>
      </c>
      <c r="S156" s="205">
        <v>0</v>
      </c>
      <c r="T156" s="205">
        <v>24.5</v>
      </c>
      <c r="U156" s="205">
        <v>24.5</v>
      </c>
      <c r="V156" s="205">
        <v>0</v>
      </c>
      <c r="W156" s="205">
        <v>0</v>
      </c>
    </row>
    <row r="157" spans="1:23" s="7" customFormat="1">
      <c r="A157" s="189" t="s">
        <v>863</v>
      </c>
      <c r="B157" s="190">
        <v>0</v>
      </c>
      <c r="C157" s="190">
        <v>0</v>
      </c>
      <c r="D157" s="190">
        <v>93.9</v>
      </c>
      <c r="E157" s="190">
        <v>93.9</v>
      </c>
      <c r="F157" s="190">
        <v>0</v>
      </c>
      <c r="G157" s="190">
        <v>0</v>
      </c>
      <c r="I157" s="186" t="s">
        <v>1256</v>
      </c>
      <c r="J157" s="188">
        <v>0</v>
      </c>
      <c r="K157" s="188">
        <v>0</v>
      </c>
      <c r="L157" s="188">
        <v>960.84199999999998</v>
      </c>
      <c r="M157" s="188">
        <v>960.84199999999998</v>
      </c>
      <c r="N157" s="188">
        <v>0</v>
      </c>
      <c r="O157" s="188">
        <v>0</v>
      </c>
      <c r="P157" s="193"/>
      <c r="Q157" s="202" t="s">
        <v>2005</v>
      </c>
      <c r="R157" s="205">
        <v>0</v>
      </c>
      <c r="S157" s="205">
        <v>0</v>
      </c>
      <c r="T157" s="205">
        <v>72</v>
      </c>
      <c r="U157" s="205">
        <v>72</v>
      </c>
      <c r="V157" s="205">
        <v>0</v>
      </c>
      <c r="W157" s="205">
        <v>0</v>
      </c>
    </row>
    <row r="158" spans="1:23" s="7" customFormat="1">
      <c r="A158" s="189" t="s">
        <v>864</v>
      </c>
      <c r="B158" s="190">
        <v>85.28</v>
      </c>
      <c r="C158" s="190">
        <v>0</v>
      </c>
      <c r="D158" s="190">
        <v>2060.0920000000001</v>
      </c>
      <c r="E158" s="190">
        <v>2061.5360000000001</v>
      </c>
      <c r="F158" s="190">
        <v>83.835999999999999</v>
      </c>
      <c r="G158" s="190">
        <v>0</v>
      </c>
      <c r="I158" s="186" t="s">
        <v>1257</v>
      </c>
      <c r="J158" s="188">
        <v>0</v>
      </c>
      <c r="K158" s="188">
        <v>0</v>
      </c>
      <c r="L158" s="188">
        <v>28180.569</v>
      </c>
      <c r="M158" s="188">
        <v>28180.569</v>
      </c>
      <c r="N158" s="188">
        <v>0</v>
      </c>
      <c r="O158" s="188">
        <v>0</v>
      </c>
      <c r="P158" s="193"/>
      <c r="Q158" s="202" t="s">
        <v>1750</v>
      </c>
      <c r="R158" s="205">
        <v>0</v>
      </c>
      <c r="S158" s="205">
        <v>0</v>
      </c>
      <c r="T158" s="205">
        <v>943.66</v>
      </c>
      <c r="U158" s="205">
        <v>943.66</v>
      </c>
      <c r="V158" s="205">
        <v>0</v>
      </c>
      <c r="W158" s="205">
        <v>0</v>
      </c>
    </row>
    <row r="159" spans="1:23" s="7" customFormat="1">
      <c r="A159" s="189" t="s">
        <v>865</v>
      </c>
      <c r="B159" s="190">
        <v>0</v>
      </c>
      <c r="C159" s="190">
        <v>0</v>
      </c>
      <c r="D159" s="190">
        <v>890.9</v>
      </c>
      <c r="E159" s="190">
        <v>890.9</v>
      </c>
      <c r="F159" s="190">
        <v>0</v>
      </c>
      <c r="G159" s="190">
        <v>0</v>
      </c>
      <c r="I159" s="186" t="s">
        <v>1258</v>
      </c>
      <c r="J159" s="188">
        <v>64</v>
      </c>
      <c r="K159" s="188">
        <v>0</v>
      </c>
      <c r="L159" s="188">
        <v>0</v>
      </c>
      <c r="M159" s="188">
        <v>0</v>
      </c>
      <c r="N159" s="188">
        <v>64</v>
      </c>
      <c r="O159" s="188">
        <v>0</v>
      </c>
      <c r="P159" s="193"/>
      <c r="Q159" s="202" t="s">
        <v>2006</v>
      </c>
      <c r="R159" s="205">
        <v>0</v>
      </c>
      <c r="S159" s="205">
        <v>0</v>
      </c>
      <c r="T159" s="205">
        <v>38.6</v>
      </c>
      <c r="U159" s="205">
        <v>38.6</v>
      </c>
      <c r="V159" s="205">
        <v>0</v>
      </c>
      <c r="W159" s="205">
        <v>0</v>
      </c>
    </row>
    <row r="160" spans="1:23" s="7" customFormat="1">
      <c r="A160" s="189" t="s">
        <v>866</v>
      </c>
      <c r="B160" s="190">
        <v>0</v>
      </c>
      <c r="C160" s="190">
        <v>0</v>
      </c>
      <c r="D160" s="190">
        <v>2.83</v>
      </c>
      <c r="E160" s="190">
        <v>2.83</v>
      </c>
      <c r="F160" s="190">
        <v>0</v>
      </c>
      <c r="G160" s="190">
        <v>0</v>
      </c>
      <c r="I160" s="186" t="s">
        <v>1259</v>
      </c>
      <c r="J160" s="188">
        <v>275.80500000000001</v>
      </c>
      <c r="K160" s="188">
        <v>0</v>
      </c>
      <c r="L160" s="188">
        <v>25244.806940000002</v>
      </c>
      <c r="M160" s="188">
        <v>25382.627940000002</v>
      </c>
      <c r="N160" s="188">
        <v>137.98400000000001</v>
      </c>
      <c r="O160" s="188">
        <v>0</v>
      </c>
      <c r="P160" s="193"/>
      <c r="Q160" s="202" t="s">
        <v>1756</v>
      </c>
      <c r="R160" s="205">
        <v>0</v>
      </c>
      <c r="S160" s="205">
        <v>0</v>
      </c>
      <c r="T160" s="205">
        <v>15.244999999999999</v>
      </c>
      <c r="U160" s="205">
        <v>15.244999999999999</v>
      </c>
      <c r="V160" s="205">
        <v>0</v>
      </c>
      <c r="W160" s="205">
        <v>0</v>
      </c>
    </row>
    <row r="161" spans="1:23" s="7" customFormat="1">
      <c r="A161" s="189" t="s">
        <v>867</v>
      </c>
      <c r="B161" s="190">
        <v>0</v>
      </c>
      <c r="C161" s="190">
        <v>0</v>
      </c>
      <c r="D161" s="190">
        <v>444.73465999999996</v>
      </c>
      <c r="E161" s="190">
        <v>444.73465999999996</v>
      </c>
      <c r="F161" s="190">
        <v>0</v>
      </c>
      <c r="G161" s="190">
        <v>0</v>
      </c>
      <c r="I161" s="186" t="s">
        <v>1260</v>
      </c>
      <c r="J161" s="188">
        <v>0</v>
      </c>
      <c r="K161" s="188">
        <v>0</v>
      </c>
      <c r="L161" s="188">
        <v>34155</v>
      </c>
      <c r="M161" s="188">
        <v>33631.29</v>
      </c>
      <c r="N161" s="188">
        <v>523.71</v>
      </c>
      <c r="O161" s="188">
        <v>0</v>
      </c>
      <c r="P161" s="193"/>
      <c r="Q161" s="202" t="s">
        <v>2007</v>
      </c>
      <c r="R161" s="205">
        <v>0</v>
      </c>
      <c r="S161" s="205">
        <v>0</v>
      </c>
      <c r="T161" s="205">
        <v>4099.84</v>
      </c>
      <c r="U161" s="205">
        <v>4024.44</v>
      </c>
      <c r="V161" s="205">
        <v>75.400000000000006</v>
      </c>
      <c r="W161" s="205">
        <v>0</v>
      </c>
    </row>
    <row r="162" spans="1:23" s="7" customFormat="1">
      <c r="A162" s="189" t="s">
        <v>868</v>
      </c>
      <c r="B162" s="190">
        <v>0</v>
      </c>
      <c r="C162" s="190">
        <v>0</v>
      </c>
      <c r="D162" s="190">
        <v>15.587</v>
      </c>
      <c r="E162" s="190">
        <v>15.587</v>
      </c>
      <c r="F162" s="190">
        <v>0</v>
      </c>
      <c r="G162" s="190">
        <v>0</v>
      </c>
      <c r="I162" s="186" t="s">
        <v>1261</v>
      </c>
      <c r="J162" s="188">
        <v>0</v>
      </c>
      <c r="K162" s="188">
        <v>0</v>
      </c>
      <c r="L162" s="188">
        <v>33857.181880000004</v>
      </c>
      <c r="M162" s="188">
        <v>33857.181880000004</v>
      </c>
      <c r="N162" s="188">
        <v>0</v>
      </c>
      <c r="O162" s="188">
        <v>0</v>
      </c>
      <c r="P162" s="193"/>
      <c r="Q162" s="202" t="s">
        <v>2008</v>
      </c>
      <c r="R162" s="205">
        <v>0</v>
      </c>
      <c r="S162" s="205">
        <v>0</v>
      </c>
      <c r="T162" s="205">
        <v>383.2</v>
      </c>
      <c r="U162" s="205">
        <v>383.2</v>
      </c>
      <c r="V162" s="205">
        <v>0</v>
      </c>
      <c r="W162" s="205">
        <v>0</v>
      </c>
    </row>
    <row r="163" spans="1:23" s="7" customFormat="1">
      <c r="A163" s="189" t="s">
        <v>869</v>
      </c>
      <c r="B163" s="190">
        <v>0</v>
      </c>
      <c r="C163" s="190">
        <v>0</v>
      </c>
      <c r="D163" s="190">
        <v>558.56998999999996</v>
      </c>
      <c r="E163" s="190">
        <v>558.56998999999996</v>
      </c>
      <c r="F163" s="190">
        <v>0</v>
      </c>
      <c r="G163" s="190">
        <v>0</v>
      </c>
      <c r="I163" s="186" t="s">
        <v>1262</v>
      </c>
      <c r="J163" s="188">
        <v>0</v>
      </c>
      <c r="K163" s="188">
        <v>0</v>
      </c>
      <c r="L163" s="188">
        <v>253552.72146</v>
      </c>
      <c r="M163" s="188">
        <v>253552.72146</v>
      </c>
      <c r="N163" s="188">
        <v>0</v>
      </c>
      <c r="O163" s="188">
        <v>0</v>
      </c>
      <c r="P163" s="193"/>
      <c r="Q163" s="202" t="s">
        <v>2009</v>
      </c>
      <c r="R163" s="205">
        <v>0</v>
      </c>
      <c r="S163" s="205">
        <v>0</v>
      </c>
      <c r="T163" s="205">
        <v>5458.0559999999996</v>
      </c>
      <c r="U163" s="205">
        <v>5458.0559999999996</v>
      </c>
      <c r="V163" s="205">
        <v>0</v>
      </c>
      <c r="W163" s="205">
        <v>0</v>
      </c>
    </row>
    <row r="164" spans="1:23" s="7" customFormat="1">
      <c r="A164" s="189" t="s">
        <v>870</v>
      </c>
      <c r="B164" s="190">
        <v>0</v>
      </c>
      <c r="C164" s="190">
        <v>0</v>
      </c>
      <c r="D164" s="190">
        <v>1676.8240000000001</v>
      </c>
      <c r="E164" s="190">
        <v>1676.8240000000001</v>
      </c>
      <c r="F164" s="190">
        <v>0</v>
      </c>
      <c r="G164" s="190">
        <v>0</v>
      </c>
      <c r="I164" s="186" t="s">
        <v>1263</v>
      </c>
      <c r="J164" s="188">
        <v>70</v>
      </c>
      <c r="K164" s="188">
        <v>0</v>
      </c>
      <c r="L164" s="188">
        <v>0</v>
      </c>
      <c r="M164" s="188">
        <v>0</v>
      </c>
      <c r="N164" s="188">
        <v>70</v>
      </c>
      <c r="O164" s="188">
        <v>0</v>
      </c>
      <c r="P164" s="193"/>
      <c r="Q164" s="202" t="s">
        <v>2010</v>
      </c>
      <c r="R164" s="205">
        <v>0</v>
      </c>
      <c r="S164" s="205">
        <v>0</v>
      </c>
      <c r="T164" s="205">
        <v>86</v>
      </c>
      <c r="U164" s="205">
        <v>86</v>
      </c>
      <c r="V164" s="205">
        <v>0</v>
      </c>
      <c r="W164" s="205">
        <v>0</v>
      </c>
    </row>
    <row r="165" spans="1:23" s="7" customFormat="1">
      <c r="A165" s="189" t="s">
        <v>871</v>
      </c>
      <c r="B165" s="190">
        <v>0</v>
      </c>
      <c r="C165" s="190">
        <v>0</v>
      </c>
      <c r="D165" s="190">
        <v>18.79</v>
      </c>
      <c r="E165" s="190">
        <v>0</v>
      </c>
      <c r="F165" s="190">
        <v>18.79</v>
      </c>
      <c r="G165" s="190">
        <v>0</v>
      </c>
      <c r="I165" s="186" t="s">
        <v>1264</v>
      </c>
      <c r="J165" s="188">
        <v>0</v>
      </c>
      <c r="K165" s="188">
        <v>0</v>
      </c>
      <c r="L165" s="188">
        <v>745.84299999999996</v>
      </c>
      <c r="M165" s="188">
        <v>0</v>
      </c>
      <c r="N165" s="188">
        <v>745.84299999999996</v>
      </c>
      <c r="O165" s="188">
        <v>0</v>
      </c>
      <c r="P165" s="193"/>
      <c r="Q165" s="202" t="s">
        <v>2011</v>
      </c>
      <c r="R165" s="205">
        <v>0</v>
      </c>
      <c r="S165" s="205">
        <v>0</v>
      </c>
      <c r="T165" s="205">
        <v>1125.2080000000001</v>
      </c>
      <c r="U165" s="205">
        <v>1125.2080000000001</v>
      </c>
      <c r="V165" s="205">
        <v>0</v>
      </c>
      <c r="W165" s="205">
        <v>0</v>
      </c>
    </row>
    <row r="166" spans="1:23" s="7" customFormat="1">
      <c r="A166" s="189" t="s">
        <v>872</v>
      </c>
      <c r="B166" s="190">
        <v>0</v>
      </c>
      <c r="C166" s="190">
        <v>0</v>
      </c>
      <c r="D166" s="190">
        <v>89.1</v>
      </c>
      <c r="E166" s="190">
        <v>89.1</v>
      </c>
      <c r="F166" s="190">
        <v>0</v>
      </c>
      <c r="G166" s="190">
        <v>0</v>
      </c>
      <c r="I166" s="186" t="s">
        <v>1265</v>
      </c>
      <c r="J166" s="188">
        <v>0</v>
      </c>
      <c r="K166" s="188">
        <v>0</v>
      </c>
      <c r="L166" s="188">
        <v>1257.45</v>
      </c>
      <c r="M166" s="188">
        <v>1257.45</v>
      </c>
      <c r="N166" s="188">
        <v>0</v>
      </c>
      <c r="O166" s="188">
        <v>0</v>
      </c>
      <c r="P166" s="193"/>
      <c r="Q166" s="202" t="s">
        <v>2012</v>
      </c>
      <c r="R166" s="205">
        <v>0</v>
      </c>
      <c r="S166" s="205">
        <v>0</v>
      </c>
      <c r="T166" s="205">
        <v>45.005000000000003</v>
      </c>
      <c r="U166" s="205">
        <v>45.005000000000003</v>
      </c>
      <c r="V166" s="205">
        <v>0</v>
      </c>
      <c r="W166" s="205">
        <v>0</v>
      </c>
    </row>
    <row r="167" spans="1:23" s="7" customFormat="1">
      <c r="A167" s="189" t="s">
        <v>873</v>
      </c>
      <c r="B167" s="190">
        <v>0</v>
      </c>
      <c r="C167" s="190">
        <v>0</v>
      </c>
      <c r="D167" s="190">
        <v>5718.8062199999995</v>
      </c>
      <c r="E167" s="190">
        <v>5507.6261100000002</v>
      </c>
      <c r="F167" s="190">
        <v>211.18010999999998</v>
      </c>
      <c r="G167" s="190">
        <v>0</v>
      </c>
      <c r="I167" s="186" t="s">
        <v>1266</v>
      </c>
      <c r="J167" s="188">
        <v>1.6</v>
      </c>
      <c r="K167" s="188">
        <v>0</v>
      </c>
      <c r="L167" s="188">
        <v>0</v>
      </c>
      <c r="M167" s="188">
        <v>0</v>
      </c>
      <c r="N167" s="188">
        <v>1.6</v>
      </c>
      <c r="O167" s="188">
        <v>0</v>
      </c>
      <c r="P167" s="193"/>
      <c r="Q167" s="202" t="s">
        <v>2013</v>
      </c>
      <c r="R167" s="205">
        <v>0</v>
      </c>
      <c r="S167" s="205">
        <v>0</v>
      </c>
      <c r="T167" s="205">
        <v>14.8</v>
      </c>
      <c r="U167" s="205">
        <v>13.6</v>
      </c>
      <c r="V167" s="205">
        <v>1.2</v>
      </c>
      <c r="W167" s="205">
        <v>0</v>
      </c>
    </row>
    <row r="168" spans="1:23" s="7" customFormat="1">
      <c r="A168" s="189" t="s">
        <v>874</v>
      </c>
      <c r="B168" s="190">
        <v>0</v>
      </c>
      <c r="C168" s="190">
        <v>0</v>
      </c>
      <c r="D168" s="190">
        <v>200</v>
      </c>
      <c r="E168" s="190">
        <v>0</v>
      </c>
      <c r="F168" s="190">
        <v>200</v>
      </c>
      <c r="G168" s="190">
        <v>0</v>
      </c>
      <c r="I168" s="186" t="s">
        <v>1267</v>
      </c>
      <c r="J168" s="188">
        <v>0</v>
      </c>
      <c r="K168" s="188">
        <v>0</v>
      </c>
      <c r="L168" s="188">
        <v>185</v>
      </c>
      <c r="M168" s="188">
        <v>0</v>
      </c>
      <c r="N168" s="188">
        <v>185</v>
      </c>
      <c r="O168" s="188">
        <v>0</v>
      </c>
      <c r="P168" s="193"/>
      <c r="Q168" s="202" t="s">
        <v>2014</v>
      </c>
      <c r="R168" s="205">
        <v>0</v>
      </c>
      <c r="S168" s="205">
        <v>0</v>
      </c>
      <c r="T168" s="205">
        <v>463.4</v>
      </c>
      <c r="U168" s="205">
        <v>463.4</v>
      </c>
      <c r="V168" s="205">
        <v>0</v>
      </c>
      <c r="W168" s="205">
        <v>0</v>
      </c>
    </row>
    <row r="169" spans="1:23" s="7" customFormat="1">
      <c r="A169" s="189" t="s">
        <v>875</v>
      </c>
      <c r="B169" s="190">
        <v>28.9</v>
      </c>
      <c r="C169" s="190">
        <v>0</v>
      </c>
      <c r="D169" s="190">
        <v>128.07300000000001</v>
      </c>
      <c r="E169" s="190">
        <v>156.97300000000001</v>
      </c>
      <c r="F169" s="190">
        <v>0</v>
      </c>
      <c r="G169" s="190">
        <v>0</v>
      </c>
      <c r="I169" s="186" t="s">
        <v>1268</v>
      </c>
      <c r="J169" s="188">
        <v>0</v>
      </c>
      <c r="K169" s="188">
        <v>0</v>
      </c>
      <c r="L169" s="188">
        <v>3481.395</v>
      </c>
      <c r="M169" s="188">
        <v>3167.8249999999998</v>
      </c>
      <c r="N169" s="188">
        <v>313.57</v>
      </c>
      <c r="O169" s="188">
        <v>0</v>
      </c>
      <c r="P169" s="193"/>
      <c r="Q169" s="202" t="s">
        <v>2015</v>
      </c>
      <c r="R169" s="205">
        <v>0</v>
      </c>
      <c r="S169" s="205">
        <v>0</v>
      </c>
      <c r="T169" s="205">
        <v>62.559280000000001</v>
      </c>
      <c r="U169" s="205">
        <v>0</v>
      </c>
      <c r="V169" s="205">
        <v>62.559280000000001</v>
      </c>
      <c r="W169" s="205">
        <v>0</v>
      </c>
    </row>
    <row r="170" spans="1:23" s="7" customFormat="1">
      <c r="A170" s="189" t="s">
        <v>876</v>
      </c>
      <c r="B170" s="190">
        <v>0</v>
      </c>
      <c r="C170" s="190">
        <v>0</v>
      </c>
      <c r="D170" s="190">
        <v>351</v>
      </c>
      <c r="E170" s="190">
        <v>351</v>
      </c>
      <c r="F170" s="190">
        <v>0</v>
      </c>
      <c r="G170" s="190">
        <v>0</v>
      </c>
      <c r="I170" s="186" t="s">
        <v>1269</v>
      </c>
      <c r="J170" s="188">
        <v>0</v>
      </c>
      <c r="K170" s="188">
        <v>0</v>
      </c>
      <c r="L170" s="188">
        <v>27</v>
      </c>
      <c r="M170" s="188">
        <v>27</v>
      </c>
      <c r="N170" s="188">
        <v>0</v>
      </c>
      <c r="O170" s="188">
        <v>0</v>
      </c>
      <c r="P170" s="193"/>
      <c r="Q170" s="202" t="s">
        <v>2016</v>
      </c>
      <c r="R170" s="205">
        <v>0</v>
      </c>
      <c r="S170" s="205">
        <v>0</v>
      </c>
      <c r="T170" s="205">
        <v>21.2</v>
      </c>
      <c r="U170" s="205">
        <v>21.2</v>
      </c>
      <c r="V170" s="205">
        <v>0</v>
      </c>
      <c r="W170" s="205">
        <v>0</v>
      </c>
    </row>
    <row r="171" spans="1:23" s="7" customFormat="1">
      <c r="A171" s="189" t="s">
        <v>877</v>
      </c>
      <c r="B171" s="190">
        <v>0</v>
      </c>
      <c r="C171" s="190">
        <v>0</v>
      </c>
      <c r="D171" s="190">
        <v>1258.8</v>
      </c>
      <c r="E171" s="190">
        <v>0</v>
      </c>
      <c r="F171" s="190">
        <v>1258.8</v>
      </c>
      <c r="G171" s="190">
        <v>0</v>
      </c>
      <c r="I171" s="186" t="s">
        <v>1270</v>
      </c>
      <c r="J171" s="188">
        <v>93.5</v>
      </c>
      <c r="K171" s="188">
        <v>0</v>
      </c>
      <c r="L171" s="188">
        <v>0</v>
      </c>
      <c r="M171" s="188">
        <v>0</v>
      </c>
      <c r="N171" s="188">
        <v>93.5</v>
      </c>
      <c r="O171" s="188">
        <v>0</v>
      </c>
      <c r="P171" s="193"/>
      <c r="Q171" s="202" t="s">
        <v>1883</v>
      </c>
      <c r="R171" s="205">
        <v>0</v>
      </c>
      <c r="S171" s="205">
        <v>0</v>
      </c>
      <c r="T171" s="205">
        <v>55552</v>
      </c>
      <c r="U171" s="205">
        <v>55552</v>
      </c>
      <c r="V171" s="205">
        <v>0</v>
      </c>
      <c r="W171" s="205">
        <v>0</v>
      </c>
    </row>
    <row r="172" spans="1:23" s="7" customFormat="1">
      <c r="A172" s="189" t="s">
        <v>878</v>
      </c>
      <c r="B172" s="190">
        <v>0</v>
      </c>
      <c r="C172" s="190">
        <v>0</v>
      </c>
      <c r="D172" s="190">
        <v>110</v>
      </c>
      <c r="E172" s="190">
        <v>110</v>
      </c>
      <c r="F172" s="190">
        <v>0</v>
      </c>
      <c r="G172" s="190">
        <v>0</v>
      </c>
      <c r="I172" s="186" t="s">
        <v>1271</v>
      </c>
      <c r="J172" s="188">
        <v>591</v>
      </c>
      <c r="K172" s="188">
        <v>0</v>
      </c>
      <c r="L172" s="188">
        <v>3758.5</v>
      </c>
      <c r="M172" s="188">
        <v>3562</v>
      </c>
      <c r="N172" s="188">
        <v>787.5</v>
      </c>
      <c r="O172" s="188">
        <v>0</v>
      </c>
      <c r="P172" s="193"/>
      <c r="Q172" s="202" t="s">
        <v>2017</v>
      </c>
      <c r="R172" s="205">
        <v>0</v>
      </c>
      <c r="S172" s="205">
        <v>0</v>
      </c>
      <c r="T172" s="205">
        <v>4.5999999999999996</v>
      </c>
      <c r="U172" s="205">
        <v>4.5999999999999996</v>
      </c>
      <c r="V172" s="205">
        <v>0</v>
      </c>
      <c r="W172" s="205">
        <v>0</v>
      </c>
    </row>
    <row r="173" spans="1:23" s="7" customFormat="1">
      <c r="A173" s="189" t="s">
        <v>879</v>
      </c>
      <c r="B173" s="190">
        <v>0</v>
      </c>
      <c r="C173" s="190">
        <v>0</v>
      </c>
      <c r="D173" s="190">
        <v>0.2</v>
      </c>
      <c r="E173" s="190">
        <v>0.2</v>
      </c>
      <c r="F173" s="190">
        <v>0</v>
      </c>
      <c r="G173" s="190">
        <v>0</v>
      </c>
      <c r="I173" s="186" t="s">
        <v>1272</v>
      </c>
      <c r="J173" s="188">
        <v>0</v>
      </c>
      <c r="K173" s="188">
        <v>0</v>
      </c>
      <c r="L173" s="188">
        <v>8749</v>
      </c>
      <c r="M173" s="188">
        <v>8749</v>
      </c>
      <c r="N173" s="188">
        <v>0</v>
      </c>
      <c r="O173" s="188">
        <v>0</v>
      </c>
      <c r="P173" s="193"/>
      <c r="Q173" s="198" t="s">
        <v>338</v>
      </c>
      <c r="R173" s="207">
        <v>0</v>
      </c>
      <c r="S173" s="207">
        <v>0</v>
      </c>
      <c r="T173" s="207">
        <v>234077.54968999999</v>
      </c>
      <c r="U173" s="207">
        <v>224182.48031000001</v>
      </c>
      <c r="V173" s="207">
        <v>9895.0693800000008</v>
      </c>
      <c r="W173" s="207">
        <v>0</v>
      </c>
    </row>
    <row r="174" spans="1:23" s="7" customFormat="1">
      <c r="A174" s="189" t="s">
        <v>880</v>
      </c>
      <c r="B174" s="190">
        <v>0</v>
      </c>
      <c r="C174" s="190">
        <v>0</v>
      </c>
      <c r="D174" s="190">
        <v>59.47</v>
      </c>
      <c r="E174" s="190">
        <v>59.47</v>
      </c>
      <c r="F174" s="190">
        <v>0</v>
      </c>
      <c r="G174" s="190">
        <v>0</v>
      </c>
      <c r="I174" s="186" t="s">
        <v>1273</v>
      </c>
      <c r="J174" s="188">
        <v>0</v>
      </c>
      <c r="K174" s="188">
        <v>0</v>
      </c>
      <c r="L174" s="188">
        <v>331.8</v>
      </c>
      <c r="M174" s="188">
        <v>331.8</v>
      </c>
      <c r="N174" s="188">
        <v>0</v>
      </c>
      <c r="O174" s="188">
        <v>0</v>
      </c>
      <c r="P174" s="193"/>
    </row>
    <row r="175" spans="1:23" s="7" customFormat="1">
      <c r="A175" s="189" t="s">
        <v>881</v>
      </c>
      <c r="B175" s="190">
        <v>0</v>
      </c>
      <c r="C175" s="190">
        <v>0</v>
      </c>
      <c r="D175" s="190">
        <v>584.63664000000006</v>
      </c>
      <c r="E175" s="190">
        <v>584.63664000000006</v>
      </c>
      <c r="F175" s="190">
        <v>0</v>
      </c>
      <c r="G175" s="190">
        <v>0</v>
      </c>
      <c r="I175" s="186" t="s">
        <v>1274</v>
      </c>
      <c r="J175" s="188">
        <v>295.02499999999998</v>
      </c>
      <c r="K175" s="188">
        <v>0</v>
      </c>
      <c r="L175" s="188">
        <v>0</v>
      </c>
      <c r="M175" s="188">
        <v>0</v>
      </c>
      <c r="N175" s="188">
        <v>295.02499999999998</v>
      </c>
      <c r="O175" s="188">
        <v>0</v>
      </c>
      <c r="P175" s="193"/>
    </row>
    <row r="176" spans="1:23" s="7" customFormat="1">
      <c r="A176" s="189" t="s">
        <v>882</v>
      </c>
      <c r="B176" s="190">
        <v>0</v>
      </c>
      <c r="C176" s="190">
        <v>0</v>
      </c>
      <c r="D176" s="190">
        <v>1113.7190000000001</v>
      </c>
      <c r="E176" s="190">
        <v>1113.7190000000001</v>
      </c>
      <c r="F176" s="190">
        <v>0</v>
      </c>
      <c r="G176" s="190">
        <v>0</v>
      </c>
      <c r="I176" s="186" t="s">
        <v>1275</v>
      </c>
      <c r="J176" s="188">
        <v>14.5</v>
      </c>
      <c r="K176" s="188">
        <v>0</v>
      </c>
      <c r="L176" s="188">
        <v>0</v>
      </c>
      <c r="M176" s="188">
        <v>0</v>
      </c>
      <c r="N176" s="188">
        <v>14.5</v>
      </c>
      <c r="O176" s="188">
        <v>0</v>
      </c>
      <c r="P176" s="193"/>
    </row>
    <row r="177" spans="1:16" s="7" customFormat="1">
      <c r="A177" s="189" t="s">
        <v>883</v>
      </c>
      <c r="B177" s="190">
        <v>0</v>
      </c>
      <c r="C177" s="190">
        <v>0</v>
      </c>
      <c r="D177" s="190">
        <v>2076.25</v>
      </c>
      <c r="E177" s="190">
        <v>2076.25</v>
      </c>
      <c r="F177" s="190">
        <v>0</v>
      </c>
      <c r="G177" s="190">
        <v>0</v>
      </c>
      <c r="I177" s="186" t="s">
        <v>1276</v>
      </c>
      <c r="J177" s="188">
        <v>143.17207000000002</v>
      </c>
      <c r="K177" s="188">
        <v>0</v>
      </c>
      <c r="L177" s="188">
        <v>0</v>
      </c>
      <c r="M177" s="188">
        <v>0</v>
      </c>
      <c r="N177" s="188">
        <v>143.17207000000002</v>
      </c>
      <c r="O177" s="188">
        <v>0</v>
      </c>
      <c r="P177" s="193"/>
    </row>
    <row r="178" spans="1:16" s="7" customFormat="1">
      <c r="A178" s="189" t="s">
        <v>884</v>
      </c>
      <c r="B178" s="190">
        <v>0</v>
      </c>
      <c r="C178" s="190">
        <v>0</v>
      </c>
      <c r="D178" s="190">
        <v>210.7</v>
      </c>
      <c r="E178" s="190">
        <v>210.7</v>
      </c>
      <c r="F178" s="190">
        <v>0</v>
      </c>
      <c r="G178" s="190">
        <v>0</v>
      </c>
      <c r="I178" s="186" t="s">
        <v>1277</v>
      </c>
      <c r="J178" s="188">
        <v>0</v>
      </c>
      <c r="K178" s="188">
        <v>0</v>
      </c>
      <c r="L178" s="188">
        <v>1777.1959999999999</v>
      </c>
      <c r="M178" s="188">
        <v>710.51199999999994</v>
      </c>
      <c r="N178" s="197">
        <v>1066.684</v>
      </c>
      <c r="O178" s="188">
        <v>0</v>
      </c>
      <c r="P178" s="193"/>
    </row>
    <row r="179" spans="1:16" s="7" customFormat="1">
      <c r="A179" s="189" t="s">
        <v>885</v>
      </c>
      <c r="B179" s="190">
        <v>0</v>
      </c>
      <c r="C179" s="190">
        <v>0</v>
      </c>
      <c r="D179" s="190">
        <v>396.02800000000002</v>
      </c>
      <c r="E179" s="190">
        <v>396.02800000000002</v>
      </c>
      <c r="F179" s="190">
        <v>0</v>
      </c>
      <c r="G179" s="190">
        <v>0</v>
      </c>
      <c r="I179" s="186" t="s">
        <v>832</v>
      </c>
      <c r="J179" s="188">
        <v>1100</v>
      </c>
      <c r="K179" s="188">
        <v>0</v>
      </c>
      <c r="L179" s="188">
        <v>0</v>
      </c>
      <c r="M179" s="188">
        <v>1100</v>
      </c>
      <c r="N179" s="188">
        <v>0</v>
      </c>
      <c r="O179" s="188">
        <v>0</v>
      </c>
      <c r="P179" s="193"/>
    </row>
    <row r="180" spans="1:16" s="7" customFormat="1">
      <c r="A180" s="189" t="s">
        <v>886</v>
      </c>
      <c r="B180" s="190">
        <v>0</v>
      </c>
      <c r="C180" s="190">
        <v>0</v>
      </c>
      <c r="D180" s="190">
        <v>162.19999999999999</v>
      </c>
      <c r="E180" s="190">
        <v>162.19999999999999</v>
      </c>
      <c r="F180" s="190">
        <v>0</v>
      </c>
      <c r="G180" s="190">
        <v>0</v>
      </c>
      <c r="I180" s="186" t="s">
        <v>1278</v>
      </c>
      <c r="J180" s="188">
        <v>0.50019000000000002</v>
      </c>
      <c r="K180" s="188">
        <v>0</v>
      </c>
      <c r="L180" s="188">
        <v>817.98050000000001</v>
      </c>
      <c r="M180" s="188">
        <v>817.98068999999998</v>
      </c>
      <c r="N180" s="188">
        <v>0.5</v>
      </c>
      <c r="O180" s="188">
        <v>0</v>
      </c>
      <c r="P180" s="193"/>
    </row>
    <row r="181" spans="1:16" s="7" customFormat="1">
      <c r="A181" s="189" t="s">
        <v>887</v>
      </c>
      <c r="B181" s="190">
        <v>0</v>
      </c>
      <c r="C181" s="190">
        <v>0</v>
      </c>
      <c r="D181" s="190">
        <v>119</v>
      </c>
      <c r="E181" s="190">
        <v>119</v>
      </c>
      <c r="F181" s="190">
        <v>0</v>
      </c>
      <c r="G181" s="190">
        <v>0</v>
      </c>
      <c r="I181" s="186" t="s">
        <v>1279</v>
      </c>
      <c r="J181" s="188">
        <v>19242.02995</v>
      </c>
      <c r="K181" s="188">
        <v>0</v>
      </c>
      <c r="L181" s="188">
        <v>34935.245310000006</v>
      </c>
      <c r="M181" s="188">
        <v>54177.275259999995</v>
      </c>
      <c r="N181" s="188">
        <v>0</v>
      </c>
      <c r="O181" s="188">
        <v>0</v>
      </c>
      <c r="P181" s="193"/>
    </row>
    <row r="182" spans="1:16" s="7" customFormat="1">
      <c r="A182" s="189" t="s">
        <v>888</v>
      </c>
      <c r="B182" s="190">
        <v>0</v>
      </c>
      <c r="C182" s="190">
        <v>0</v>
      </c>
      <c r="D182" s="190">
        <v>110</v>
      </c>
      <c r="E182" s="190">
        <v>110</v>
      </c>
      <c r="F182" s="190">
        <v>0</v>
      </c>
      <c r="G182" s="190">
        <v>0</v>
      </c>
      <c r="I182" s="186" t="s">
        <v>1280</v>
      </c>
      <c r="J182" s="188">
        <v>0</v>
      </c>
      <c r="K182" s="188">
        <v>0</v>
      </c>
      <c r="L182" s="188">
        <v>45552.652020000001</v>
      </c>
      <c r="M182" s="188">
        <v>45552.652020000001</v>
      </c>
      <c r="N182" s="188">
        <v>0</v>
      </c>
      <c r="O182" s="188">
        <v>0</v>
      </c>
      <c r="P182" s="193"/>
    </row>
    <row r="183" spans="1:16" s="7" customFormat="1">
      <c r="A183" s="189" t="s">
        <v>889</v>
      </c>
      <c r="B183" s="190">
        <v>0</v>
      </c>
      <c r="C183" s="190">
        <v>0</v>
      </c>
      <c r="D183" s="190">
        <v>143.1</v>
      </c>
      <c r="E183" s="190">
        <v>143.1</v>
      </c>
      <c r="F183" s="190">
        <v>0</v>
      </c>
      <c r="G183" s="190">
        <v>0</v>
      </c>
      <c r="I183" s="186" t="s">
        <v>1281</v>
      </c>
      <c r="J183" s="188">
        <v>0</v>
      </c>
      <c r="K183" s="188">
        <v>0</v>
      </c>
      <c r="L183" s="188">
        <v>8.4</v>
      </c>
      <c r="M183" s="188">
        <v>8.4</v>
      </c>
      <c r="N183" s="188">
        <v>0</v>
      </c>
      <c r="O183" s="188">
        <v>0</v>
      </c>
      <c r="P183" s="193"/>
    </row>
    <row r="184" spans="1:16" s="7" customFormat="1">
      <c r="A184" s="189" t="s">
        <v>890</v>
      </c>
      <c r="B184" s="190">
        <v>3.06</v>
      </c>
      <c r="C184" s="190">
        <v>0</v>
      </c>
      <c r="D184" s="190">
        <v>0</v>
      </c>
      <c r="E184" s="190">
        <v>3.06</v>
      </c>
      <c r="F184" s="190">
        <v>0</v>
      </c>
      <c r="G184" s="190">
        <v>0</v>
      </c>
      <c r="I184" s="186" t="s">
        <v>1282</v>
      </c>
      <c r="J184" s="188">
        <v>0</v>
      </c>
      <c r="K184" s="188">
        <v>0</v>
      </c>
      <c r="L184" s="188">
        <v>1409234.1937200001</v>
      </c>
      <c r="M184" s="188">
        <v>1409234.1937200001</v>
      </c>
      <c r="N184" s="188">
        <v>0</v>
      </c>
      <c r="O184" s="188">
        <v>0</v>
      </c>
      <c r="P184" s="193"/>
    </row>
    <row r="185" spans="1:16" s="7" customFormat="1">
      <c r="A185" s="189" t="s">
        <v>891</v>
      </c>
      <c r="B185" s="190">
        <v>0</v>
      </c>
      <c r="C185" s="190">
        <v>0</v>
      </c>
      <c r="D185" s="190">
        <v>494.07535999999999</v>
      </c>
      <c r="E185" s="190">
        <v>494.07535999999999</v>
      </c>
      <c r="F185" s="190">
        <v>0</v>
      </c>
      <c r="G185" s="190">
        <v>0</v>
      </c>
      <c r="I185" s="186" t="s">
        <v>1283</v>
      </c>
      <c r="J185" s="188">
        <v>480</v>
      </c>
      <c r="K185" s="188">
        <v>0</v>
      </c>
      <c r="L185" s="188">
        <v>1919</v>
      </c>
      <c r="M185" s="188">
        <v>1779</v>
      </c>
      <c r="N185" s="188">
        <v>620</v>
      </c>
      <c r="O185" s="188">
        <v>0</v>
      </c>
      <c r="P185" s="193"/>
    </row>
    <row r="186" spans="1:16" s="7" customFormat="1">
      <c r="A186" s="189" t="s">
        <v>892</v>
      </c>
      <c r="B186" s="190">
        <v>0</v>
      </c>
      <c r="C186" s="190">
        <v>0</v>
      </c>
      <c r="D186" s="190">
        <v>25</v>
      </c>
      <c r="E186" s="190">
        <v>25</v>
      </c>
      <c r="F186" s="190">
        <v>0</v>
      </c>
      <c r="G186" s="190">
        <v>0</v>
      </c>
      <c r="I186" s="186" t="s">
        <v>1284</v>
      </c>
      <c r="J186" s="188">
        <v>0</v>
      </c>
      <c r="K186" s="188">
        <v>0</v>
      </c>
      <c r="L186" s="188">
        <v>2305.00479</v>
      </c>
      <c r="M186" s="188">
        <v>2305.00479</v>
      </c>
      <c r="N186" s="188">
        <v>0</v>
      </c>
      <c r="O186" s="188">
        <v>0</v>
      </c>
      <c r="P186" s="193"/>
    </row>
    <row r="187" spans="1:16" s="7" customFormat="1">
      <c r="A187" s="189" t="s">
        <v>893</v>
      </c>
      <c r="B187" s="190">
        <v>200.14704999999998</v>
      </c>
      <c r="C187" s="190">
        <v>0</v>
      </c>
      <c r="D187" s="190">
        <v>50326.688729999994</v>
      </c>
      <c r="E187" s="190">
        <v>50472.723079999996</v>
      </c>
      <c r="F187" s="190">
        <v>54.112699999999997</v>
      </c>
      <c r="G187" s="190">
        <v>0</v>
      </c>
      <c r="I187" s="186" t="s">
        <v>840</v>
      </c>
      <c r="J187" s="188">
        <v>0</v>
      </c>
      <c r="K187" s="188">
        <v>0</v>
      </c>
      <c r="L187" s="188">
        <v>450</v>
      </c>
      <c r="M187" s="188">
        <v>450</v>
      </c>
      <c r="N187" s="188">
        <v>0</v>
      </c>
      <c r="O187" s="188">
        <v>0</v>
      </c>
      <c r="P187" s="193"/>
    </row>
    <row r="188" spans="1:16" s="7" customFormat="1">
      <c r="A188" s="189" t="s">
        <v>894</v>
      </c>
      <c r="B188" s="190">
        <v>0</v>
      </c>
      <c r="C188" s="190">
        <v>0</v>
      </c>
      <c r="D188" s="190">
        <v>530</v>
      </c>
      <c r="E188" s="190">
        <v>0</v>
      </c>
      <c r="F188" s="190">
        <v>530</v>
      </c>
      <c r="G188" s="190">
        <v>0</v>
      </c>
      <c r="I188" s="186" t="s">
        <v>841</v>
      </c>
      <c r="J188" s="188">
        <v>0</v>
      </c>
      <c r="K188" s="188">
        <v>0</v>
      </c>
      <c r="L188" s="188">
        <v>25051.236000000001</v>
      </c>
      <c r="M188" s="188">
        <v>25051.236000000001</v>
      </c>
      <c r="N188" s="188">
        <v>0</v>
      </c>
      <c r="O188" s="188">
        <v>0</v>
      </c>
      <c r="P188" s="193"/>
    </row>
    <row r="189" spans="1:16" s="7" customFormat="1">
      <c r="A189" s="189" t="s">
        <v>895</v>
      </c>
      <c r="B189" s="190">
        <v>0</v>
      </c>
      <c r="C189" s="190">
        <v>0</v>
      </c>
      <c r="D189" s="190">
        <v>242.4</v>
      </c>
      <c r="E189" s="190">
        <v>242.4</v>
      </c>
      <c r="F189" s="190">
        <v>0</v>
      </c>
      <c r="G189" s="190">
        <v>0</v>
      </c>
      <c r="I189" s="186" t="s">
        <v>841</v>
      </c>
      <c r="J189" s="188">
        <v>0</v>
      </c>
      <c r="K189" s="188">
        <v>0</v>
      </c>
      <c r="L189" s="188">
        <v>26383.475999999999</v>
      </c>
      <c r="M189" s="188">
        <v>26383.475999999999</v>
      </c>
      <c r="N189" s="188">
        <v>0</v>
      </c>
      <c r="O189" s="188">
        <v>0</v>
      </c>
      <c r="P189" s="193"/>
    </row>
    <row r="190" spans="1:16" s="7" customFormat="1">
      <c r="A190" s="189" t="s">
        <v>896</v>
      </c>
      <c r="B190" s="190">
        <v>0</v>
      </c>
      <c r="C190" s="190">
        <v>0</v>
      </c>
      <c r="D190" s="190">
        <v>2.4</v>
      </c>
      <c r="E190" s="190">
        <v>2.4</v>
      </c>
      <c r="F190" s="190">
        <v>0</v>
      </c>
      <c r="G190" s="190">
        <v>0</v>
      </c>
      <c r="I190" s="186" t="s">
        <v>1285</v>
      </c>
      <c r="J190" s="188">
        <v>0</v>
      </c>
      <c r="K190" s="188">
        <v>0</v>
      </c>
      <c r="L190" s="188">
        <v>90320.340299999996</v>
      </c>
      <c r="M190" s="188">
        <v>90320.340299999996</v>
      </c>
      <c r="N190" s="188">
        <v>0</v>
      </c>
      <c r="O190" s="188">
        <v>0</v>
      </c>
      <c r="P190" s="193"/>
    </row>
    <row r="191" spans="1:16" s="7" customFormat="1">
      <c r="A191" s="189" t="s">
        <v>897</v>
      </c>
      <c r="B191" s="190">
        <v>0</v>
      </c>
      <c r="C191" s="190">
        <v>0</v>
      </c>
      <c r="D191" s="190">
        <v>63.075000000000003</v>
      </c>
      <c r="E191" s="190">
        <v>63.075000000000003</v>
      </c>
      <c r="F191" s="190">
        <v>0</v>
      </c>
      <c r="G191" s="190">
        <v>0</v>
      </c>
      <c r="I191" s="186" t="s">
        <v>1286</v>
      </c>
      <c r="J191" s="188">
        <v>36</v>
      </c>
      <c r="K191" s="188">
        <v>0</v>
      </c>
      <c r="L191" s="188">
        <v>0</v>
      </c>
      <c r="M191" s="188">
        <v>36</v>
      </c>
      <c r="N191" s="188">
        <v>0</v>
      </c>
      <c r="O191" s="188">
        <v>0</v>
      </c>
      <c r="P191" s="193"/>
    </row>
    <row r="192" spans="1:16" s="7" customFormat="1">
      <c r="A192" s="189" t="s">
        <v>898</v>
      </c>
      <c r="B192" s="190">
        <v>0</v>
      </c>
      <c r="C192" s="190">
        <v>0</v>
      </c>
      <c r="D192" s="190">
        <v>195</v>
      </c>
      <c r="E192" s="190">
        <v>195</v>
      </c>
      <c r="F192" s="190">
        <v>0</v>
      </c>
      <c r="G192" s="190">
        <v>0</v>
      </c>
      <c r="I192" s="186" t="s">
        <v>1287</v>
      </c>
      <c r="J192" s="188">
        <v>5.0000000000000002E-5</v>
      </c>
      <c r="K192" s="188">
        <v>0</v>
      </c>
      <c r="L192" s="188">
        <v>0</v>
      </c>
      <c r="M192" s="188">
        <v>5.0000000000000002E-5</v>
      </c>
      <c r="N192" s="188">
        <v>0</v>
      </c>
      <c r="O192" s="188">
        <v>0</v>
      </c>
      <c r="P192" s="193"/>
    </row>
    <row r="193" spans="1:16" s="7" customFormat="1">
      <c r="A193" s="189" t="s">
        <v>899</v>
      </c>
      <c r="B193" s="190">
        <v>0</v>
      </c>
      <c r="C193" s="190">
        <v>0</v>
      </c>
      <c r="D193" s="190">
        <v>183.43360000000001</v>
      </c>
      <c r="E193" s="190">
        <v>183.43360000000001</v>
      </c>
      <c r="F193" s="190">
        <v>0</v>
      </c>
      <c r="G193" s="190">
        <v>0</v>
      </c>
      <c r="I193" s="186" t="s">
        <v>1288</v>
      </c>
      <c r="J193" s="188">
        <v>0</v>
      </c>
      <c r="K193" s="188">
        <v>0</v>
      </c>
      <c r="L193" s="188">
        <v>65</v>
      </c>
      <c r="M193" s="188">
        <v>65</v>
      </c>
      <c r="N193" s="188">
        <v>0</v>
      </c>
      <c r="O193" s="188">
        <v>0</v>
      </c>
      <c r="P193" s="193"/>
    </row>
    <row r="194" spans="1:16" s="7" customFormat="1">
      <c r="A194" s="189" t="s">
        <v>900</v>
      </c>
      <c r="B194" s="190">
        <v>0</v>
      </c>
      <c r="C194" s="190">
        <v>0</v>
      </c>
      <c r="D194" s="190">
        <v>285.85361</v>
      </c>
      <c r="E194" s="190">
        <v>285.85361</v>
      </c>
      <c r="F194" s="190">
        <v>0</v>
      </c>
      <c r="G194" s="190">
        <v>0</v>
      </c>
      <c r="I194" s="186" t="s">
        <v>1289</v>
      </c>
      <c r="J194" s="188">
        <v>71.5</v>
      </c>
      <c r="K194" s="188">
        <v>0</v>
      </c>
      <c r="L194" s="188">
        <v>0</v>
      </c>
      <c r="M194" s="188">
        <v>0</v>
      </c>
      <c r="N194" s="188">
        <v>71.5</v>
      </c>
      <c r="O194" s="188">
        <v>0</v>
      </c>
      <c r="P194" s="193"/>
    </row>
    <row r="195" spans="1:16" s="7" customFormat="1">
      <c r="A195" s="189" t="s">
        <v>901</v>
      </c>
      <c r="B195" s="190">
        <v>0</v>
      </c>
      <c r="C195" s="190">
        <v>0</v>
      </c>
      <c r="D195" s="190">
        <v>2.4</v>
      </c>
      <c r="E195" s="190">
        <v>2.4</v>
      </c>
      <c r="F195" s="190">
        <v>0</v>
      </c>
      <c r="G195" s="190">
        <v>0</v>
      </c>
      <c r="I195" s="186" t="s">
        <v>1290</v>
      </c>
      <c r="J195" s="188">
        <v>5000</v>
      </c>
      <c r="K195" s="188">
        <v>0</v>
      </c>
      <c r="L195" s="188">
        <v>0</v>
      </c>
      <c r="M195" s="188">
        <v>0</v>
      </c>
      <c r="N195" s="188">
        <v>5000</v>
      </c>
      <c r="O195" s="188">
        <v>0</v>
      </c>
      <c r="P195" s="193"/>
    </row>
    <row r="196" spans="1:16" s="7" customFormat="1">
      <c r="A196" s="189" t="s">
        <v>902</v>
      </c>
      <c r="B196" s="190">
        <v>0</v>
      </c>
      <c r="C196" s="190">
        <v>0</v>
      </c>
      <c r="D196" s="190">
        <v>1045.2470000000001</v>
      </c>
      <c r="E196" s="190">
        <v>1045.2470000000001</v>
      </c>
      <c r="F196" s="190">
        <v>0</v>
      </c>
      <c r="G196" s="190">
        <v>0</v>
      </c>
      <c r="I196" s="186" t="s">
        <v>1291</v>
      </c>
      <c r="J196" s="188">
        <v>0</v>
      </c>
      <c r="K196" s="188">
        <v>0</v>
      </c>
      <c r="L196" s="188">
        <v>603.05999999999995</v>
      </c>
      <c r="M196" s="188">
        <v>603.05999999999995</v>
      </c>
      <c r="N196" s="188">
        <v>0</v>
      </c>
      <c r="O196" s="188">
        <v>0</v>
      </c>
      <c r="P196" s="193"/>
    </row>
    <row r="197" spans="1:16" s="7" customFormat="1">
      <c r="A197" s="189" t="s">
        <v>903</v>
      </c>
      <c r="B197" s="190">
        <v>19591.785879999999</v>
      </c>
      <c r="C197" s="190">
        <v>0</v>
      </c>
      <c r="D197" s="190">
        <v>540.37639000000001</v>
      </c>
      <c r="E197" s="190">
        <v>20132.162270000001</v>
      </c>
      <c r="F197" s="190">
        <v>0</v>
      </c>
      <c r="G197" s="190">
        <v>0</v>
      </c>
      <c r="I197" s="186" t="s">
        <v>1292</v>
      </c>
      <c r="J197" s="188">
        <v>0</v>
      </c>
      <c r="K197" s="188">
        <v>0</v>
      </c>
      <c r="L197" s="188">
        <v>237950.35024</v>
      </c>
      <c r="M197" s="188">
        <v>237950.35024</v>
      </c>
      <c r="N197" s="188">
        <v>0</v>
      </c>
      <c r="O197" s="188">
        <v>0</v>
      </c>
      <c r="P197" s="193"/>
    </row>
    <row r="198" spans="1:16" s="7" customFormat="1">
      <c r="A198" s="189" t="s">
        <v>904</v>
      </c>
      <c r="B198" s="190">
        <v>0</v>
      </c>
      <c r="C198" s="190">
        <v>0</v>
      </c>
      <c r="D198" s="190">
        <v>3</v>
      </c>
      <c r="E198" s="190">
        <v>3</v>
      </c>
      <c r="F198" s="190">
        <v>0</v>
      </c>
      <c r="G198" s="190">
        <v>0</v>
      </c>
      <c r="I198" s="186" t="s">
        <v>1293</v>
      </c>
      <c r="J198" s="188">
        <v>0</v>
      </c>
      <c r="K198" s="188">
        <v>0</v>
      </c>
      <c r="L198" s="188">
        <v>180</v>
      </c>
      <c r="M198" s="188">
        <v>0</v>
      </c>
      <c r="N198" s="188">
        <v>180</v>
      </c>
      <c r="O198" s="188">
        <v>0</v>
      </c>
      <c r="P198" s="193"/>
    </row>
    <row r="199" spans="1:16" s="7" customFormat="1">
      <c r="A199" s="189" t="s">
        <v>905</v>
      </c>
      <c r="B199" s="190">
        <v>0</v>
      </c>
      <c r="C199" s="190">
        <v>0</v>
      </c>
      <c r="D199" s="190">
        <v>612</v>
      </c>
      <c r="E199" s="190">
        <v>612</v>
      </c>
      <c r="F199" s="190">
        <v>0</v>
      </c>
      <c r="G199" s="190">
        <v>0</v>
      </c>
      <c r="I199" s="186" t="s">
        <v>1294</v>
      </c>
      <c r="J199" s="188">
        <v>467.35192000000001</v>
      </c>
      <c r="K199" s="188">
        <v>0</v>
      </c>
      <c r="L199" s="188">
        <v>1610.4896799999999</v>
      </c>
      <c r="M199" s="188">
        <v>853.56943999999999</v>
      </c>
      <c r="N199" s="188">
        <v>1224.27216</v>
      </c>
      <c r="O199" s="188">
        <v>0</v>
      </c>
      <c r="P199" s="193"/>
    </row>
    <row r="200" spans="1:16" s="7" customFormat="1">
      <c r="A200" s="189" t="s">
        <v>906</v>
      </c>
      <c r="B200" s="190">
        <v>0</v>
      </c>
      <c r="C200" s="190">
        <v>0</v>
      </c>
      <c r="D200" s="190">
        <v>120</v>
      </c>
      <c r="E200" s="190">
        <v>120</v>
      </c>
      <c r="F200" s="190">
        <v>0</v>
      </c>
      <c r="G200" s="190">
        <v>0</v>
      </c>
      <c r="I200" s="186" t="s">
        <v>1295</v>
      </c>
      <c r="J200" s="188">
        <v>17.167999999999999</v>
      </c>
      <c r="K200" s="188">
        <v>0</v>
      </c>
      <c r="L200" s="188">
        <v>2122.9</v>
      </c>
      <c r="M200" s="188">
        <v>2122.9</v>
      </c>
      <c r="N200" s="188">
        <v>17.167999999999999</v>
      </c>
      <c r="O200" s="188">
        <v>0</v>
      </c>
      <c r="P200" s="193"/>
    </row>
    <row r="201" spans="1:16" s="7" customFormat="1">
      <c r="A201" s="189" t="s">
        <v>907</v>
      </c>
      <c r="B201" s="190">
        <v>0</v>
      </c>
      <c r="C201" s="190">
        <v>0</v>
      </c>
      <c r="D201" s="190">
        <v>2382.41</v>
      </c>
      <c r="E201" s="190">
        <v>2004.2239999999999</v>
      </c>
      <c r="F201" s="190">
        <v>378.18599999999998</v>
      </c>
      <c r="G201" s="190">
        <v>0</v>
      </c>
      <c r="I201" s="186" t="s">
        <v>1296</v>
      </c>
      <c r="J201" s="188">
        <v>0</v>
      </c>
      <c r="K201" s="188">
        <v>0</v>
      </c>
      <c r="L201" s="188">
        <v>210</v>
      </c>
      <c r="M201" s="188">
        <v>210</v>
      </c>
      <c r="N201" s="188">
        <v>0</v>
      </c>
      <c r="O201" s="188">
        <v>0</v>
      </c>
      <c r="P201" s="193"/>
    </row>
    <row r="202" spans="1:16" s="7" customFormat="1">
      <c r="A202" s="189" t="s">
        <v>908</v>
      </c>
      <c r="B202" s="190">
        <v>928.774</v>
      </c>
      <c r="C202" s="190">
        <v>0</v>
      </c>
      <c r="D202" s="190">
        <v>512.34204</v>
      </c>
      <c r="E202" s="190">
        <v>1441.1160400000001</v>
      </c>
      <c r="F202" s="190">
        <v>0</v>
      </c>
      <c r="G202" s="190">
        <v>0</v>
      </c>
      <c r="I202" s="186" t="s">
        <v>1297</v>
      </c>
      <c r="J202" s="188">
        <v>0</v>
      </c>
      <c r="K202" s="188">
        <v>0</v>
      </c>
      <c r="L202" s="188">
        <v>1000</v>
      </c>
      <c r="M202" s="188">
        <v>1000</v>
      </c>
      <c r="N202" s="188">
        <v>0</v>
      </c>
      <c r="O202" s="188">
        <v>0</v>
      </c>
      <c r="P202" s="193"/>
    </row>
    <row r="203" spans="1:16" s="7" customFormat="1">
      <c r="A203" s="189" t="s">
        <v>909</v>
      </c>
      <c r="B203" s="190">
        <v>0</v>
      </c>
      <c r="C203" s="190">
        <v>0</v>
      </c>
      <c r="D203" s="190">
        <v>272.25</v>
      </c>
      <c r="E203" s="190">
        <v>272.25</v>
      </c>
      <c r="F203" s="190">
        <v>0</v>
      </c>
      <c r="G203" s="190">
        <v>0</v>
      </c>
      <c r="I203" s="186" t="s">
        <v>1298</v>
      </c>
      <c r="J203" s="188">
        <v>0</v>
      </c>
      <c r="K203" s="188">
        <v>0</v>
      </c>
      <c r="L203" s="188">
        <v>2264.9621499999998</v>
      </c>
      <c r="M203" s="188">
        <v>2264.9621499999998</v>
      </c>
      <c r="N203" s="188">
        <v>0</v>
      </c>
      <c r="O203" s="188">
        <v>0</v>
      </c>
      <c r="P203" s="193"/>
    </row>
    <row r="204" spans="1:16" s="7" customFormat="1">
      <c r="A204" s="189" t="s">
        <v>910</v>
      </c>
      <c r="B204" s="190">
        <v>0</v>
      </c>
      <c r="C204" s="190">
        <v>0</v>
      </c>
      <c r="D204" s="190">
        <v>544.42999999999995</v>
      </c>
      <c r="E204" s="190">
        <v>544.42999999999995</v>
      </c>
      <c r="F204" s="190">
        <v>0</v>
      </c>
      <c r="G204" s="190">
        <v>0</v>
      </c>
      <c r="I204" s="186" t="s">
        <v>1299</v>
      </c>
      <c r="J204" s="188">
        <v>0</v>
      </c>
      <c r="K204" s="188">
        <v>0</v>
      </c>
      <c r="L204" s="188">
        <v>1163</v>
      </c>
      <c r="M204" s="188">
        <v>1163</v>
      </c>
      <c r="N204" s="188">
        <v>0</v>
      </c>
      <c r="O204" s="188">
        <v>0</v>
      </c>
      <c r="P204" s="193"/>
    </row>
    <row r="205" spans="1:16" s="7" customFormat="1">
      <c r="A205" s="189" t="s">
        <v>911</v>
      </c>
      <c r="B205" s="190">
        <v>0</v>
      </c>
      <c r="C205" s="190">
        <v>0</v>
      </c>
      <c r="D205" s="190">
        <v>72431.66</v>
      </c>
      <c r="E205" s="190">
        <v>72431.66</v>
      </c>
      <c r="F205" s="190">
        <v>0</v>
      </c>
      <c r="G205" s="190">
        <v>0</v>
      </c>
      <c r="I205" s="186" t="s">
        <v>1300</v>
      </c>
      <c r="J205" s="188">
        <v>51</v>
      </c>
      <c r="K205" s="188">
        <v>0</v>
      </c>
      <c r="L205" s="188">
        <v>3808</v>
      </c>
      <c r="M205" s="188">
        <v>3808</v>
      </c>
      <c r="N205" s="188">
        <v>51</v>
      </c>
      <c r="O205" s="188">
        <v>0</v>
      </c>
      <c r="P205" s="193"/>
    </row>
    <row r="206" spans="1:16" s="7" customFormat="1">
      <c r="A206" s="189" t="s">
        <v>912</v>
      </c>
      <c r="B206" s="190">
        <v>0</v>
      </c>
      <c r="C206" s="190">
        <v>0</v>
      </c>
      <c r="D206" s="190">
        <v>132.6</v>
      </c>
      <c r="E206" s="190">
        <v>132.6</v>
      </c>
      <c r="F206" s="190">
        <v>0</v>
      </c>
      <c r="G206" s="190">
        <v>0</v>
      </c>
      <c r="I206" s="186" t="s">
        <v>1301</v>
      </c>
      <c r="J206" s="188">
        <v>0</v>
      </c>
      <c r="K206" s="188">
        <v>0</v>
      </c>
      <c r="L206" s="188">
        <v>25444.196370000001</v>
      </c>
      <c r="M206" s="188">
        <v>25444.196370000001</v>
      </c>
      <c r="N206" s="188">
        <v>0</v>
      </c>
      <c r="O206" s="188">
        <v>0</v>
      </c>
      <c r="P206" s="193"/>
    </row>
    <row r="207" spans="1:16" s="7" customFormat="1">
      <c r="A207" s="189" t="s">
        <v>913</v>
      </c>
      <c r="B207" s="190">
        <v>0</v>
      </c>
      <c r="C207" s="190">
        <v>0</v>
      </c>
      <c r="D207" s="190">
        <v>78.099999999999994</v>
      </c>
      <c r="E207" s="190">
        <v>44.036999999999999</v>
      </c>
      <c r="F207" s="190">
        <v>34.063000000000002</v>
      </c>
      <c r="G207" s="190">
        <v>0</v>
      </c>
      <c r="I207" s="186" t="s">
        <v>1302</v>
      </c>
      <c r="J207" s="188">
        <v>3600</v>
      </c>
      <c r="K207" s="188">
        <v>0</v>
      </c>
      <c r="L207" s="188">
        <v>0</v>
      </c>
      <c r="M207" s="188">
        <v>0</v>
      </c>
      <c r="N207" s="188">
        <v>3600</v>
      </c>
      <c r="O207" s="188">
        <v>0</v>
      </c>
      <c r="P207" s="193"/>
    </row>
    <row r="208" spans="1:16" s="7" customFormat="1">
      <c r="A208" s="189" t="s">
        <v>914</v>
      </c>
      <c r="B208" s="190">
        <v>0</v>
      </c>
      <c r="C208" s="190">
        <v>0</v>
      </c>
      <c r="D208" s="190">
        <v>43.6</v>
      </c>
      <c r="E208" s="190">
        <v>43.6</v>
      </c>
      <c r="F208" s="190">
        <v>0</v>
      </c>
      <c r="G208" s="190">
        <v>0</v>
      </c>
      <c r="I208" s="186" t="s">
        <v>1303</v>
      </c>
      <c r="J208" s="188">
        <v>56.587060000000001</v>
      </c>
      <c r="K208" s="188">
        <v>0</v>
      </c>
      <c r="L208" s="188">
        <v>0</v>
      </c>
      <c r="M208" s="188">
        <v>0</v>
      </c>
      <c r="N208" s="188">
        <v>56.587060000000001</v>
      </c>
      <c r="O208" s="188">
        <v>0</v>
      </c>
      <c r="P208" s="193"/>
    </row>
    <row r="209" spans="1:16" s="7" customFormat="1">
      <c r="A209" s="189" t="s">
        <v>915</v>
      </c>
      <c r="B209" s="190">
        <v>0</v>
      </c>
      <c r="C209" s="190">
        <v>0</v>
      </c>
      <c r="D209" s="190">
        <v>111.05</v>
      </c>
      <c r="E209" s="190">
        <v>111.05</v>
      </c>
      <c r="F209" s="190">
        <v>0</v>
      </c>
      <c r="G209" s="190">
        <v>0</v>
      </c>
      <c r="I209" s="186" t="s">
        <v>1304</v>
      </c>
      <c r="J209" s="188">
        <v>0</v>
      </c>
      <c r="K209" s="188">
        <v>0</v>
      </c>
      <c r="L209" s="188">
        <v>598</v>
      </c>
      <c r="M209" s="188">
        <v>598</v>
      </c>
      <c r="N209" s="188">
        <v>0</v>
      </c>
      <c r="O209" s="188">
        <v>0</v>
      </c>
      <c r="P209" s="193"/>
    </row>
    <row r="210" spans="1:16" s="7" customFormat="1">
      <c r="A210" s="189" t="s">
        <v>916</v>
      </c>
      <c r="B210" s="190">
        <v>0</v>
      </c>
      <c r="C210" s="190">
        <v>0</v>
      </c>
      <c r="D210" s="190">
        <v>921.6</v>
      </c>
      <c r="E210" s="190">
        <v>921.6</v>
      </c>
      <c r="F210" s="190">
        <v>0</v>
      </c>
      <c r="G210" s="190">
        <v>0</v>
      </c>
      <c r="I210" s="186" t="s">
        <v>1305</v>
      </c>
      <c r="J210" s="188">
        <v>1071.4658999999999</v>
      </c>
      <c r="K210" s="188">
        <v>0</v>
      </c>
      <c r="L210" s="188">
        <v>23147.66216</v>
      </c>
      <c r="M210" s="188">
        <v>23147.66216</v>
      </c>
      <c r="N210" s="188">
        <v>1071.4658999999999</v>
      </c>
      <c r="O210" s="188">
        <v>0</v>
      </c>
      <c r="P210" s="193"/>
    </row>
    <row r="211" spans="1:16" s="7" customFormat="1">
      <c r="A211" s="189" t="s">
        <v>917</v>
      </c>
      <c r="B211" s="190">
        <v>0</v>
      </c>
      <c r="C211" s="190">
        <v>0</v>
      </c>
      <c r="D211" s="190">
        <v>162</v>
      </c>
      <c r="E211" s="190">
        <v>162</v>
      </c>
      <c r="F211" s="190">
        <v>0</v>
      </c>
      <c r="G211" s="190">
        <v>0</v>
      </c>
      <c r="I211" s="186" t="s">
        <v>852</v>
      </c>
      <c r="J211" s="188">
        <v>440.76100000000002</v>
      </c>
      <c r="K211" s="188">
        <v>0</v>
      </c>
      <c r="L211" s="188">
        <v>299.04000000000002</v>
      </c>
      <c r="M211" s="188">
        <v>739.80100000000004</v>
      </c>
      <c r="N211" s="188">
        <v>0</v>
      </c>
      <c r="O211" s="188">
        <v>0</v>
      </c>
      <c r="P211" s="193"/>
    </row>
    <row r="212" spans="1:16" s="7" customFormat="1">
      <c r="A212" s="189" t="s">
        <v>918</v>
      </c>
      <c r="B212" s="190">
        <v>0</v>
      </c>
      <c r="C212" s="190">
        <v>0</v>
      </c>
      <c r="D212" s="190">
        <v>186.81899999999999</v>
      </c>
      <c r="E212" s="190">
        <v>186.81899999999999</v>
      </c>
      <c r="F212" s="190">
        <v>0</v>
      </c>
      <c r="G212" s="190">
        <v>0</v>
      </c>
      <c r="I212" s="186" t="s">
        <v>1306</v>
      </c>
      <c r="J212" s="188">
        <v>4.4000000000000004</v>
      </c>
      <c r="K212" s="188">
        <v>0</v>
      </c>
      <c r="L212" s="188">
        <v>0</v>
      </c>
      <c r="M212" s="188">
        <v>0</v>
      </c>
      <c r="N212" s="188">
        <v>4.4000000000000004</v>
      </c>
      <c r="O212" s="188">
        <v>0</v>
      </c>
      <c r="P212" s="193"/>
    </row>
    <row r="213" spans="1:16" s="7" customFormat="1">
      <c r="A213" s="189" t="s">
        <v>919</v>
      </c>
      <c r="B213" s="190">
        <v>0</v>
      </c>
      <c r="C213" s="190">
        <v>0</v>
      </c>
      <c r="D213" s="190">
        <v>4564.5600000000004</v>
      </c>
      <c r="E213" s="190">
        <v>0</v>
      </c>
      <c r="F213" s="190">
        <v>4564.5600000000004</v>
      </c>
      <c r="G213" s="190">
        <v>0</v>
      </c>
      <c r="I213" s="186" t="s">
        <v>1307</v>
      </c>
      <c r="J213" s="188">
        <v>0</v>
      </c>
      <c r="K213" s="188">
        <v>0</v>
      </c>
      <c r="L213" s="188">
        <v>4738.8649999999998</v>
      </c>
      <c r="M213" s="188">
        <v>4738.8649999999998</v>
      </c>
      <c r="N213" s="188">
        <v>0</v>
      </c>
      <c r="O213" s="188">
        <v>0</v>
      </c>
      <c r="P213" s="193"/>
    </row>
    <row r="214" spans="1:16" s="7" customFormat="1">
      <c r="A214" s="189" t="s">
        <v>920</v>
      </c>
      <c r="B214" s="190">
        <v>0</v>
      </c>
      <c r="C214" s="190">
        <v>0</v>
      </c>
      <c r="D214" s="190">
        <v>147.4</v>
      </c>
      <c r="E214" s="190">
        <v>147.4</v>
      </c>
      <c r="F214" s="190">
        <v>0</v>
      </c>
      <c r="G214" s="190">
        <v>0</v>
      </c>
      <c r="I214" s="186" t="s">
        <v>1308</v>
      </c>
      <c r="J214" s="188">
        <v>1935.5</v>
      </c>
      <c r="K214" s="188">
        <v>0</v>
      </c>
      <c r="L214" s="188">
        <v>0</v>
      </c>
      <c r="M214" s="188">
        <v>0</v>
      </c>
      <c r="N214" s="188">
        <v>1935.5</v>
      </c>
      <c r="O214" s="188">
        <v>0</v>
      </c>
      <c r="P214" s="193"/>
    </row>
    <row r="215" spans="1:16" s="7" customFormat="1">
      <c r="A215" s="189" t="s">
        <v>921</v>
      </c>
      <c r="B215" s="190">
        <v>0</v>
      </c>
      <c r="C215" s="190">
        <v>0</v>
      </c>
      <c r="D215" s="190">
        <v>180</v>
      </c>
      <c r="E215" s="190">
        <v>180</v>
      </c>
      <c r="F215" s="190">
        <v>0</v>
      </c>
      <c r="G215" s="190">
        <v>0</v>
      </c>
      <c r="I215" s="186" t="s">
        <v>1309</v>
      </c>
      <c r="J215" s="188">
        <v>0</v>
      </c>
      <c r="K215" s="188">
        <v>0</v>
      </c>
      <c r="L215" s="188">
        <v>23711.200000000001</v>
      </c>
      <c r="M215" s="188">
        <v>0</v>
      </c>
      <c r="N215" s="197">
        <v>23711.200000000001</v>
      </c>
      <c r="O215" s="188">
        <v>0</v>
      </c>
      <c r="P215" s="193"/>
    </row>
    <row r="216" spans="1:16" s="7" customFormat="1">
      <c r="A216" s="189" t="s">
        <v>922</v>
      </c>
      <c r="B216" s="190">
        <v>0</v>
      </c>
      <c r="C216" s="190">
        <v>0</v>
      </c>
      <c r="D216" s="190">
        <v>454.5</v>
      </c>
      <c r="E216" s="190">
        <v>440</v>
      </c>
      <c r="F216" s="190">
        <v>14.5</v>
      </c>
      <c r="G216" s="190">
        <v>0</v>
      </c>
      <c r="I216" s="186" t="s">
        <v>1310</v>
      </c>
      <c r="J216" s="188">
        <v>0</v>
      </c>
      <c r="K216" s="188">
        <v>0</v>
      </c>
      <c r="L216" s="188">
        <v>83.207999999999998</v>
      </c>
      <c r="M216" s="188">
        <v>83.207999999999998</v>
      </c>
      <c r="N216" s="188">
        <v>0</v>
      </c>
      <c r="O216" s="188">
        <v>0</v>
      </c>
      <c r="P216" s="193"/>
    </row>
    <row r="217" spans="1:16" s="7" customFormat="1">
      <c r="A217" s="189" t="s">
        <v>923</v>
      </c>
      <c r="B217" s="190">
        <v>0</v>
      </c>
      <c r="C217" s="190">
        <v>0</v>
      </c>
      <c r="D217" s="190">
        <v>48</v>
      </c>
      <c r="E217" s="190">
        <v>48</v>
      </c>
      <c r="F217" s="190">
        <v>0</v>
      </c>
      <c r="G217" s="190">
        <v>0</v>
      </c>
      <c r="I217" s="186" t="s">
        <v>1311</v>
      </c>
      <c r="J217" s="188">
        <v>0</v>
      </c>
      <c r="K217" s="188">
        <v>0</v>
      </c>
      <c r="L217" s="188">
        <v>5131.4967000000006</v>
      </c>
      <c r="M217" s="188">
        <v>5131.4967000000006</v>
      </c>
      <c r="N217" s="188">
        <v>0</v>
      </c>
      <c r="O217" s="188">
        <v>0</v>
      </c>
      <c r="P217" s="193"/>
    </row>
    <row r="218" spans="1:16" s="7" customFormat="1">
      <c r="A218" s="189" t="s">
        <v>924</v>
      </c>
      <c r="B218" s="190">
        <v>0</v>
      </c>
      <c r="C218" s="190">
        <v>0</v>
      </c>
      <c r="D218" s="190">
        <v>92.76</v>
      </c>
      <c r="E218" s="190">
        <v>92.76</v>
      </c>
      <c r="F218" s="190">
        <v>0</v>
      </c>
      <c r="G218" s="190">
        <v>0</v>
      </c>
      <c r="I218" s="186" t="s">
        <v>1312</v>
      </c>
      <c r="J218" s="188">
        <v>0</v>
      </c>
      <c r="K218" s="188">
        <v>0</v>
      </c>
      <c r="L218" s="188">
        <v>235.5</v>
      </c>
      <c r="M218" s="188">
        <v>235.5</v>
      </c>
      <c r="N218" s="188">
        <v>0</v>
      </c>
      <c r="O218" s="188">
        <v>0</v>
      </c>
      <c r="P218" s="193"/>
    </row>
    <row r="219" spans="1:16" s="7" customFormat="1">
      <c r="A219" s="189" t="s">
        <v>925</v>
      </c>
      <c r="B219" s="190">
        <v>0</v>
      </c>
      <c r="C219" s="190">
        <v>0</v>
      </c>
      <c r="D219" s="190">
        <v>20</v>
      </c>
      <c r="E219" s="190">
        <v>20</v>
      </c>
      <c r="F219" s="190">
        <v>0</v>
      </c>
      <c r="G219" s="190">
        <v>0</v>
      </c>
      <c r="I219" s="186" t="s">
        <v>1313</v>
      </c>
      <c r="J219" s="188">
        <v>0</v>
      </c>
      <c r="K219" s="188">
        <v>0</v>
      </c>
      <c r="L219" s="188">
        <v>235.5</v>
      </c>
      <c r="M219" s="188">
        <v>235.5</v>
      </c>
      <c r="N219" s="188">
        <v>0</v>
      </c>
      <c r="O219" s="188">
        <v>0</v>
      </c>
      <c r="P219" s="193"/>
    </row>
    <row r="220" spans="1:16" s="7" customFormat="1">
      <c r="A220" s="189" t="s">
        <v>926</v>
      </c>
      <c r="B220" s="190">
        <v>0</v>
      </c>
      <c r="C220" s="190">
        <v>0</v>
      </c>
      <c r="D220" s="190">
        <v>241</v>
      </c>
      <c r="E220" s="190">
        <v>241</v>
      </c>
      <c r="F220" s="190">
        <v>0</v>
      </c>
      <c r="G220" s="190">
        <v>0</v>
      </c>
      <c r="I220" s="186" t="s">
        <v>1314</v>
      </c>
      <c r="J220" s="188">
        <v>72.319999999999993</v>
      </c>
      <c r="K220" s="188">
        <v>0</v>
      </c>
      <c r="L220" s="188">
        <v>0</v>
      </c>
      <c r="M220" s="188">
        <v>0</v>
      </c>
      <c r="N220" s="188">
        <v>72.319999999999993</v>
      </c>
      <c r="O220" s="188">
        <v>0</v>
      </c>
      <c r="P220" s="193"/>
    </row>
    <row r="221" spans="1:16" s="7" customFormat="1">
      <c r="A221" s="189" t="s">
        <v>927</v>
      </c>
      <c r="B221" s="190">
        <v>11.5</v>
      </c>
      <c r="C221" s="190">
        <v>0</v>
      </c>
      <c r="D221" s="190">
        <v>29.2</v>
      </c>
      <c r="E221" s="190">
        <v>38.799999999999997</v>
      </c>
      <c r="F221" s="190">
        <v>1.9</v>
      </c>
      <c r="G221" s="190">
        <v>0</v>
      </c>
      <c r="I221" s="186" t="s">
        <v>1315</v>
      </c>
      <c r="J221" s="188">
        <v>198</v>
      </c>
      <c r="K221" s="188">
        <v>0</v>
      </c>
      <c r="L221" s="188">
        <v>0</v>
      </c>
      <c r="M221" s="188">
        <v>198</v>
      </c>
      <c r="N221" s="188">
        <v>0</v>
      </c>
      <c r="O221" s="188">
        <v>0</v>
      </c>
      <c r="P221" s="193"/>
    </row>
    <row r="222" spans="1:16" s="7" customFormat="1">
      <c r="A222" s="189" t="s">
        <v>928</v>
      </c>
      <c r="B222" s="190">
        <v>0</v>
      </c>
      <c r="C222" s="190">
        <v>0</v>
      </c>
      <c r="D222" s="190">
        <v>2374.0639999999999</v>
      </c>
      <c r="E222" s="190">
        <v>2374.0639999999999</v>
      </c>
      <c r="F222" s="190">
        <v>0</v>
      </c>
      <c r="G222" s="190">
        <v>0</v>
      </c>
      <c r="I222" s="186" t="s">
        <v>1316</v>
      </c>
      <c r="J222" s="188">
        <v>0</v>
      </c>
      <c r="K222" s="188">
        <v>0</v>
      </c>
      <c r="L222" s="188">
        <v>0.75</v>
      </c>
      <c r="M222" s="188">
        <v>0.75</v>
      </c>
      <c r="N222" s="188">
        <v>0</v>
      </c>
      <c r="O222" s="188">
        <v>0</v>
      </c>
      <c r="P222" s="193"/>
    </row>
    <row r="223" spans="1:16" s="7" customFormat="1">
      <c r="A223" s="189" t="s">
        <v>929</v>
      </c>
      <c r="B223" s="190">
        <v>0</v>
      </c>
      <c r="C223" s="190">
        <v>0</v>
      </c>
      <c r="D223" s="190">
        <v>6167.2439999999997</v>
      </c>
      <c r="E223" s="190">
        <v>6167.2439999999997</v>
      </c>
      <c r="F223" s="190">
        <v>0</v>
      </c>
      <c r="G223" s="190">
        <v>0</v>
      </c>
      <c r="I223" s="186" t="s">
        <v>1317</v>
      </c>
      <c r="J223" s="188">
        <v>0</v>
      </c>
      <c r="K223" s="188">
        <v>0</v>
      </c>
      <c r="L223" s="188">
        <v>6.4</v>
      </c>
      <c r="M223" s="188">
        <v>6.4</v>
      </c>
      <c r="N223" s="188">
        <v>0</v>
      </c>
      <c r="O223" s="188">
        <v>0</v>
      </c>
      <c r="P223" s="193"/>
    </row>
    <row r="224" spans="1:16" s="7" customFormat="1">
      <c r="A224" s="189" t="s">
        <v>706</v>
      </c>
      <c r="B224" s="190">
        <v>0</v>
      </c>
      <c r="C224" s="190">
        <v>0</v>
      </c>
      <c r="D224" s="190">
        <v>250267.39499999999</v>
      </c>
      <c r="E224" s="190">
        <v>250267.39499999999</v>
      </c>
      <c r="F224" s="190">
        <v>0</v>
      </c>
      <c r="G224" s="190">
        <v>0</v>
      </c>
      <c r="I224" s="186" t="s">
        <v>1318</v>
      </c>
      <c r="J224" s="188">
        <v>116.422</v>
      </c>
      <c r="K224" s="188">
        <v>0</v>
      </c>
      <c r="L224" s="188">
        <v>3509.21</v>
      </c>
      <c r="M224" s="188">
        <v>3625.6320000000001</v>
      </c>
      <c r="N224" s="188">
        <v>0</v>
      </c>
      <c r="O224" s="188">
        <v>0</v>
      </c>
      <c r="P224" s="193"/>
    </row>
    <row r="225" spans="1:16" s="7" customFormat="1">
      <c r="A225" s="189" t="s">
        <v>930</v>
      </c>
      <c r="B225" s="190">
        <v>24</v>
      </c>
      <c r="C225" s="190">
        <v>0</v>
      </c>
      <c r="D225" s="190">
        <v>173.22300000000001</v>
      </c>
      <c r="E225" s="190">
        <v>182.45500000000001</v>
      </c>
      <c r="F225" s="190">
        <v>14.768000000000001</v>
      </c>
      <c r="G225" s="190">
        <v>0</v>
      </c>
      <c r="I225" s="186" t="s">
        <v>1319</v>
      </c>
      <c r="J225" s="188">
        <v>0</v>
      </c>
      <c r="K225" s="188">
        <v>0</v>
      </c>
      <c r="L225" s="188">
        <v>91</v>
      </c>
      <c r="M225" s="188">
        <v>91</v>
      </c>
      <c r="N225" s="188">
        <v>0</v>
      </c>
      <c r="O225" s="188">
        <v>0</v>
      </c>
      <c r="P225" s="193"/>
    </row>
    <row r="226" spans="1:16" s="7" customFormat="1">
      <c r="A226" s="189" t="s">
        <v>931</v>
      </c>
      <c r="B226" s="190">
        <v>6.2E-2</v>
      </c>
      <c r="C226" s="190">
        <v>0</v>
      </c>
      <c r="D226" s="190">
        <v>444.33659999999998</v>
      </c>
      <c r="E226" s="190">
        <v>331.40840000000003</v>
      </c>
      <c r="F226" s="190">
        <v>112.9902</v>
      </c>
      <c r="G226" s="190">
        <v>0</v>
      </c>
      <c r="I226" s="186" t="s">
        <v>1320</v>
      </c>
      <c r="J226" s="188">
        <v>0</v>
      </c>
      <c r="K226" s="188">
        <v>0</v>
      </c>
      <c r="L226" s="188">
        <v>639.15250000000003</v>
      </c>
      <c r="M226" s="188">
        <v>639.15250000000003</v>
      </c>
      <c r="N226" s="188">
        <v>0</v>
      </c>
      <c r="O226" s="188">
        <v>0</v>
      </c>
      <c r="P226" s="193"/>
    </row>
    <row r="227" spans="1:16" s="7" customFormat="1">
      <c r="A227" s="189" t="s">
        <v>932</v>
      </c>
      <c r="B227" s="190">
        <v>0</v>
      </c>
      <c r="C227" s="190">
        <v>0</v>
      </c>
      <c r="D227" s="190">
        <v>2690.6</v>
      </c>
      <c r="E227" s="190">
        <v>2690.6</v>
      </c>
      <c r="F227" s="190">
        <v>0</v>
      </c>
      <c r="G227" s="190">
        <v>0</v>
      </c>
      <c r="I227" s="186" t="s">
        <v>1321</v>
      </c>
      <c r="J227" s="188">
        <v>0</v>
      </c>
      <c r="K227" s="188">
        <v>0</v>
      </c>
      <c r="L227" s="188">
        <v>258.3</v>
      </c>
      <c r="M227" s="188">
        <v>258.3</v>
      </c>
      <c r="N227" s="188">
        <v>0</v>
      </c>
      <c r="O227" s="188">
        <v>0</v>
      </c>
      <c r="P227" s="193"/>
    </row>
    <row r="228" spans="1:16" s="7" customFormat="1">
      <c r="A228" s="189" t="s">
        <v>933</v>
      </c>
      <c r="B228" s="190">
        <v>0</v>
      </c>
      <c r="C228" s="190">
        <v>0</v>
      </c>
      <c r="D228" s="190">
        <v>352</v>
      </c>
      <c r="E228" s="190">
        <v>352</v>
      </c>
      <c r="F228" s="190">
        <v>0</v>
      </c>
      <c r="G228" s="190">
        <v>0</v>
      </c>
      <c r="I228" s="186" t="s">
        <v>1322</v>
      </c>
      <c r="J228" s="188">
        <v>0</v>
      </c>
      <c r="K228" s="188">
        <v>0</v>
      </c>
      <c r="L228" s="188">
        <v>8538.2261999999992</v>
      </c>
      <c r="M228" s="188">
        <v>8538.2261999999992</v>
      </c>
      <c r="N228" s="188">
        <v>0</v>
      </c>
      <c r="O228" s="188">
        <v>0</v>
      </c>
      <c r="P228" s="193"/>
    </row>
    <row r="229" spans="1:16" s="7" customFormat="1">
      <c r="A229" s="189" t="s">
        <v>934</v>
      </c>
      <c r="B229" s="190">
        <v>0</v>
      </c>
      <c r="C229" s="190">
        <v>0</v>
      </c>
      <c r="D229" s="190">
        <v>539.67600000000004</v>
      </c>
      <c r="E229" s="190">
        <v>539.67600000000004</v>
      </c>
      <c r="F229" s="190">
        <v>0</v>
      </c>
      <c r="G229" s="190">
        <v>0</v>
      </c>
      <c r="I229" s="186" t="s">
        <v>1323</v>
      </c>
      <c r="J229" s="188">
        <v>0</v>
      </c>
      <c r="K229" s="188">
        <v>0</v>
      </c>
      <c r="L229" s="188">
        <v>90.314600000000013</v>
      </c>
      <c r="M229" s="188">
        <v>0</v>
      </c>
      <c r="N229" s="188">
        <v>90.314600000000013</v>
      </c>
      <c r="O229" s="188">
        <v>0</v>
      </c>
      <c r="P229" s="193"/>
    </row>
    <row r="230" spans="1:16" s="7" customFormat="1">
      <c r="A230" s="189" t="s">
        <v>935</v>
      </c>
      <c r="B230" s="190">
        <v>0</v>
      </c>
      <c r="C230" s="190">
        <v>0</v>
      </c>
      <c r="D230" s="190">
        <v>627.37484999999992</v>
      </c>
      <c r="E230" s="190">
        <v>627.37484999999992</v>
      </c>
      <c r="F230" s="190">
        <v>0</v>
      </c>
      <c r="G230" s="190">
        <v>0</v>
      </c>
      <c r="I230" s="186" t="s">
        <v>1324</v>
      </c>
      <c r="J230" s="188">
        <v>0</v>
      </c>
      <c r="K230" s="188">
        <v>0</v>
      </c>
      <c r="L230" s="188">
        <v>5876.2740000000003</v>
      </c>
      <c r="M230" s="188">
        <v>5876.2740000000003</v>
      </c>
      <c r="N230" s="188">
        <v>0</v>
      </c>
      <c r="O230" s="188">
        <v>0</v>
      </c>
      <c r="P230" s="193"/>
    </row>
    <row r="231" spans="1:16" s="7" customFormat="1">
      <c r="A231" s="189" t="s">
        <v>936</v>
      </c>
      <c r="B231" s="190">
        <v>0</v>
      </c>
      <c r="C231" s="190">
        <v>0</v>
      </c>
      <c r="D231" s="190">
        <v>915</v>
      </c>
      <c r="E231" s="190">
        <v>915</v>
      </c>
      <c r="F231" s="190">
        <v>0</v>
      </c>
      <c r="G231" s="190">
        <v>0</v>
      </c>
      <c r="I231" s="186" t="s">
        <v>1325</v>
      </c>
      <c r="J231" s="188">
        <v>0</v>
      </c>
      <c r="K231" s="188">
        <v>0</v>
      </c>
      <c r="L231" s="188">
        <v>1570.01</v>
      </c>
      <c r="M231" s="188">
        <v>1570.01</v>
      </c>
      <c r="N231" s="188">
        <v>0</v>
      </c>
      <c r="O231" s="188">
        <v>0</v>
      </c>
      <c r="P231" s="193"/>
    </row>
    <row r="232" spans="1:16" s="7" customFormat="1">
      <c r="A232" s="189" t="s">
        <v>937</v>
      </c>
      <c r="B232" s="190">
        <v>38.064</v>
      </c>
      <c r="C232" s="190">
        <v>0</v>
      </c>
      <c r="D232" s="190">
        <v>196.43600000000001</v>
      </c>
      <c r="E232" s="190">
        <v>234.5</v>
      </c>
      <c r="F232" s="190">
        <v>0</v>
      </c>
      <c r="G232" s="190">
        <v>0</v>
      </c>
      <c r="I232" s="186" t="s">
        <v>1326</v>
      </c>
      <c r="J232" s="188">
        <v>0</v>
      </c>
      <c r="K232" s="188">
        <v>0</v>
      </c>
      <c r="L232" s="188">
        <v>562.27</v>
      </c>
      <c r="M232" s="188">
        <v>562.27</v>
      </c>
      <c r="N232" s="188">
        <v>0</v>
      </c>
      <c r="O232" s="188">
        <v>0</v>
      </c>
      <c r="P232" s="193"/>
    </row>
    <row r="233" spans="1:16" s="7" customFormat="1">
      <c r="A233" s="189" t="s">
        <v>938</v>
      </c>
      <c r="B233" s="190">
        <v>0</v>
      </c>
      <c r="C233" s="190">
        <v>0</v>
      </c>
      <c r="D233" s="190">
        <v>488.63499999999999</v>
      </c>
      <c r="E233" s="190">
        <v>488.63499999999999</v>
      </c>
      <c r="F233" s="190">
        <v>0</v>
      </c>
      <c r="G233" s="190">
        <v>0</v>
      </c>
      <c r="I233" s="186" t="s">
        <v>1327</v>
      </c>
      <c r="J233" s="188">
        <v>0</v>
      </c>
      <c r="K233" s="188">
        <v>0</v>
      </c>
      <c r="L233" s="188">
        <v>31.675000000000001</v>
      </c>
      <c r="M233" s="188">
        <v>31.675000000000001</v>
      </c>
      <c r="N233" s="188">
        <v>0</v>
      </c>
      <c r="O233" s="188">
        <v>0</v>
      </c>
      <c r="P233" s="193"/>
    </row>
    <row r="234" spans="1:16" s="7" customFormat="1">
      <c r="A234" s="189" t="s">
        <v>939</v>
      </c>
      <c r="B234" s="190">
        <v>0</v>
      </c>
      <c r="C234" s="190">
        <v>0</v>
      </c>
      <c r="D234" s="190">
        <v>3.6</v>
      </c>
      <c r="E234" s="190">
        <v>3.6</v>
      </c>
      <c r="F234" s="190">
        <v>0</v>
      </c>
      <c r="G234" s="190">
        <v>0</v>
      </c>
      <c r="I234" s="186" t="s">
        <v>1328</v>
      </c>
      <c r="J234" s="188">
        <v>0</v>
      </c>
      <c r="K234" s="188">
        <v>0</v>
      </c>
      <c r="L234" s="188">
        <v>790</v>
      </c>
      <c r="M234" s="188">
        <v>790</v>
      </c>
      <c r="N234" s="188">
        <v>0</v>
      </c>
      <c r="O234" s="188">
        <v>0</v>
      </c>
      <c r="P234" s="193"/>
    </row>
    <row r="235" spans="1:16" s="7" customFormat="1">
      <c r="A235" s="189" t="s">
        <v>940</v>
      </c>
      <c r="B235" s="190">
        <v>0</v>
      </c>
      <c r="C235" s="190">
        <v>0</v>
      </c>
      <c r="D235" s="190">
        <v>1287.7750000000001</v>
      </c>
      <c r="E235" s="190">
        <v>1287.7750000000001</v>
      </c>
      <c r="F235" s="190">
        <v>0</v>
      </c>
      <c r="G235" s="190">
        <v>0</v>
      </c>
      <c r="I235" s="186" t="s">
        <v>869</v>
      </c>
      <c r="J235" s="188">
        <v>0</v>
      </c>
      <c r="K235" s="188">
        <v>0</v>
      </c>
      <c r="L235" s="188">
        <v>385</v>
      </c>
      <c r="M235" s="188">
        <v>385</v>
      </c>
      <c r="N235" s="188">
        <v>0</v>
      </c>
      <c r="O235" s="188">
        <v>0</v>
      </c>
      <c r="P235" s="193"/>
    </row>
    <row r="236" spans="1:16" s="7" customFormat="1">
      <c r="A236" s="189" t="s">
        <v>941</v>
      </c>
      <c r="B236" s="190">
        <v>0</v>
      </c>
      <c r="C236" s="190">
        <v>0</v>
      </c>
      <c r="D236" s="190">
        <v>67.900000000000006</v>
      </c>
      <c r="E236" s="190">
        <v>67.900000000000006</v>
      </c>
      <c r="F236" s="190">
        <v>0</v>
      </c>
      <c r="G236" s="190">
        <v>0</v>
      </c>
      <c r="I236" s="186" t="s">
        <v>1329</v>
      </c>
      <c r="J236" s="188">
        <v>420</v>
      </c>
      <c r="K236" s="188">
        <v>0</v>
      </c>
      <c r="L236" s="188">
        <v>92</v>
      </c>
      <c r="M236" s="188">
        <v>92</v>
      </c>
      <c r="N236" s="188">
        <v>420</v>
      </c>
      <c r="O236" s="188">
        <v>0</v>
      </c>
      <c r="P236" s="193"/>
    </row>
    <row r="237" spans="1:16" s="7" customFormat="1">
      <c r="A237" s="189" t="s">
        <v>942</v>
      </c>
      <c r="B237" s="190">
        <v>0</v>
      </c>
      <c r="C237" s="190">
        <v>0</v>
      </c>
      <c r="D237" s="190">
        <v>112.2</v>
      </c>
      <c r="E237" s="190">
        <v>112.2</v>
      </c>
      <c r="F237" s="190">
        <v>0</v>
      </c>
      <c r="G237" s="190">
        <v>0</v>
      </c>
      <c r="I237" s="186" t="s">
        <v>1330</v>
      </c>
      <c r="J237" s="188">
        <v>0</v>
      </c>
      <c r="K237" s="188">
        <v>0</v>
      </c>
      <c r="L237" s="188">
        <v>57.908999999999999</v>
      </c>
      <c r="M237" s="188">
        <v>57.908999999999999</v>
      </c>
      <c r="N237" s="188">
        <v>0</v>
      </c>
      <c r="O237" s="188">
        <v>0</v>
      </c>
      <c r="P237" s="193"/>
    </row>
    <row r="238" spans="1:16" s="7" customFormat="1">
      <c r="A238" s="189" t="s">
        <v>943</v>
      </c>
      <c r="B238" s="190">
        <v>0</v>
      </c>
      <c r="C238" s="190">
        <v>0</v>
      </c>
      <c r="D238" s="190">
        <v>2000</v>
      </c>
      <c r="E238" s="190">
        <v>1980</v>
      </c>
      <c r="F238" s="190">
        <v>20</v>
      </c>
      <c r="G238" s="190">
        <v>0</v>
      </c>
      <c r="I238" s="186" t="s">
        <v>1331</v>
      </c>
      <c r="J238" s="188">
        <v>0</v>
      </c>
      <c r="K238" s="188">
        <v>0</v>
      </c>
      <c r="L238" s="188">
        <v>1663.1511499999999</v>
      </c>
      <c r="M238" s="188">
        <v>1663.1511499999999</v>
      </c>
      <c r="N238" s="188">
        <v>0</v>
      </c>
      <c r="O238" s="188">
        <v>0</v>
      </c>
      <c r="P238" s="193"/>
    </row>
    <row r="239" spans="1:16" s="7" customFormat="1">
      <c r="A239" s="189" t="s">
        <v>944</v>
      </c>
      <c r="B239" s="190">
        <v>0</v>
      </c>
      <c r="C239" s="190">
        <v>0</v>
      </c>
      <c r="D239" s="190">
        <v>1510</v>
      </c>
      <c r="E239" s="190">
        <v>1510</v>
      </c>
      <c r="F239" s="190">
        <v>0</v>
      </c>
      <c r="G239" s="190">
        <v>0</v>
      </c>
      <c r="I239" s="186" t="s">
        <v>1332</v>
      </c>
      <c r="J239" s="188">
        <v>0</v>
      </c>
      <c r="K239" s="188">
        <v>0</v>
      </c>
      <c r="L239" s="188">
        <v>5465.3625000000002</v>
      </c>
      <c r="M239" s="188">
        <v>5465.3625000000002</v>
      </c>
      <c r="N239" s="188">
        <v>0</v>
      </c>
      <c r="O239" s="188">
        <v>0</v>
      </c>
      <c r="P239" s="193"/>
    </row>
    <row r="240" spans="1:16" s="7" customFormat="1">
      <c r="A240" s="189" t="s">
        <v>945</v>
      </c>
      <c r="B240" s="190">
        <v>5.17</v>
      </c>
      <c r="C240" s="190">
        <v>0</v>
      </c>
      <c r="D240" s="190">
        <v>4.63</v>
      </c>
      <c r="E240" s="190">
        <v>9.8000000000000007</v>
      </c>
      <c r="F240" s="190">
        <v>0</v>
      </c>
      <c r="G240" s="190">
        <v>0</v>
      </c>
      <c r="I240" s="186" t="s">
        <v>1333</v>
      </c>
      <c r="J240" s="188">
        <v>0</v>
      </c>
      <c r="K240" s="188">
        <v>0</v>
      </c>
      <c r="L240" s="188">
        <v>275.5</v>
      </c>
      <c r="M240" s="188">
        <v>275.5</v>
      </c>
      <c r="N240" s="188">
        <v>0</v>
      </c>
      <c r="O240" s="188">
        <v>0</v>
      </c>
      <c r="P240" s="193"/>
    </row>
    <row r="241" spans="1:16" s="7" customFormat="1">
      <c r="A241" s="189" t="s">
        <v>946</v>
      </c>
      <c r="B241" s="190">
        <v>0</v>
      </c>
      <c r="C241" s="190">
        <v>0</v>
      </c>
      <c r="D241" s="190">
        <v>56.7</v>
      </c>
      <c r="E241" s="190">
        <v>56.7</v>
      </c>
      <c r="F241" s="190">
        <v>0</v>
      </c>
      <c r="G241" s="190">
        <v>0</v>
      </c>
      <c r="I241" s="186" t="s">
        <v>1334</v>
      </c>
      <c r="J241" s="188">
        <v>0</v>
      </c>
      <c r="K241" s="188">
        <v>0</v>
      </c>
      <c r="L241" s="188">
        <v>165.44</v>
      </c>
      <c r="M241" s="188">
        <v>165.44</v>
      </c>
      <c r="N241" s="188">
        <v>0</v>
      </c>
      <c r="O241" s="188">
        <v>0</v>
      </c>
      <c r="P241" s="193"/>
    </row>
    <row r="242" spans="1:16" s="7" customFormat="1">
      <c r="A242" s="189" t="s">
        <v>947</v>
      </c>
      <c r="B242" s="190">
        <v>0</v>
      </c>
      <c r="C242" s="190">
        <v>0</v>
      </c>
      <c r="D242" s="190">
        <v>5.56</v>
      </c>
      <c r="E242" s="190">
        <v>5.56</v>
      </c>
      <c r="F242" s="190">
        <v>0</v>
      </c>
      <c r="G242" s="190">
        <v>0</v>
      </c>
      <c r="I242" s="186" t="s">
        <v>1335</v>
      </c>
      <c r="J242" s="188">
        <v>148.94999999999999</v>
      </c>
      <c r="K242" s="188">
        <v>0</v>
      </c>
      <c r="L242" s="188">
        <v>0</v>
      </c>
      <c r="M242" s="188">
        <v>148.94999999999999</v>
      </c>
      <c r="N242" s="188">
        <v>0</v>
      </c>
      <c r="O242" s="188">
        <v>0</v>
      </c>
      <c r="P242" s="193"/>
    </row>
    <row r="243" spans="1:16" s="7" customFormat="1">
      <c r="A243" s="189" t="s">
        <v>948</v>
      </c>
      <c r="B243" s="190">
        <v>0</v>
      </c>
      <c r="C243" s="190">
        <v>0</v>
      </c>
      <c r="D243" s="190">
        <v>662711.83784000005</v>
      </c>
      <c r="E243" s="190">
        <v>630149.25120000006</v>
      </c>
      <c r="F243" s="190">
        <v>32562.586640000001</v>
      </c>
      <c r="G243" s="190">
        <v>0</v>
      </c>
      <c r="I243" s="186" t="s">
        <v>1336</v>
      </c>
      <c r="J243" s="188">
        <v>0</v>
      </c>
      <c r="K243" s="188">
        <v>0</v>
      </c>
      <c r="L243" s="188">
        <v>22311.25906</v>
      </c>
      <c r="M243" s="188">
        <v>22311.25906</v>
      </c>
      <c r="N243" s="188">
        <v>0</v>
      </c>
      <c r="O243" s="188">
        <v>0</v>
      </c>
      <c r="P243" s="193"/>
    </row>
    <row r="244" spans="1:16" s="7" customFormat="1">
      <c r="A244" s="189" t="s">
        <v>949</v>
      </c>
      <c r="B244" s="190">
        <v>0</v>
      </c>
      <c r="C244" s="190">
        <v>0</v>
      </c>
      <c r="D244" s="190">
        <v>50</v>
      </c>
      <c r="E244" s="190">
        <v>50</v>
      </c>
      <c r="F244" s="190">
        <v>0</v>
      </c>
      <c r="G244" s="190">
        <v>0</v>
      </c>
      <c r="I244" s="186" t="s">
        <v>1337</v>
      </c>
      <c r="J244" s="188">
        <v>0</v>
      </c>
      <c r="K244" s="188">
        <v>0</v>
      </c>
      <c r="L244" s="188">
        <v>200</v>
      </c>
      <c r="M244" s="188">
        <v>200</v>
      </c>
      <c r="N244" s="188">
        <v>0</v>
      </c>
      <c r="O244" s="188">
        <v>0</v>
      </c>
      <c r="P244" s="193"/>
    </row>
    <row r="245" spans="1:16" s="7" customFormat="1">
      <c r="A245" s="189" t="s">
        <v>950</v>
      </c>
      <c r="B245" s="190">
        <v>0</v>
      </c>
      <c r="C245" s="190">
        <v>0</v>
      </c>
      <c r="D245" s="190">
        <v>43.68</v>
      </c>
      <c r="E245" s="190">
        <v>43.68</v>
      </c>
      <c r="F245" s="190">
        <v>0</v>
      </c>
      <c r="G245" s="190">
        <v>0</v>
      </c>
      <c r="I245" s="186" t="s">
        <v>1338</v>
      </c>
      <c r="J245" s="188">
        <v>2476.2199999999998</v>
      </c>
      <c r="K245" s="188">
        <v>0</v>
      </c>
      <c r="L245" s="188">
        <v>9711.25</v>
      </c>
      <c r="M245" s="188">
        <v>10957.52</v>
      </c>
      <c r="N245" s="188">
        <v>1229.95</v>
      </c>
      <c r="O245" s="188">
        <v>0</v>
      </c>
      <c r="P245" s="193"/>
    </row>
    <row r="246" spans="1:16" s="7" customFormat="1">
      <c r="A246" s="189" t="s">
        <v>951</v>
      </c>
      <c r="B246" s="190">
        <v>0</v>
      </c>
      <c r="C246" s="190">
        <v>0</v>
      </c>
      <c r="D246" s="190">
        <v>205.17870000000002</v>
      </c>
      <c r="E246" s="190">
        <v>205.17870000000002</v>
      </c>
      <c r="F246" s="190">
        <v>0</v>
      </c>
      <c r="G246" s="190">
        <v>0</v>
      </c>
      <c r="I246" s="186" t="s">
        <v>1339</v>
      </c>
      <c r="J246" s="188">
        <v>0</v>
      </c>
      <c r="K246" s="188">
        <v>0</v>
      </c>
      <c r="L246" s="188">
        <v>471.096</v>
      </c>
      <c r="M246" s="188">
        <v>471.096</v>
      </c>
      <c r="N246" s="188">
        <v>0</v>
      </c>
      <c r="O246" s="188">
        <v>0</v>
      </c>
      <c r="P246" s="193"/>
    </row>
    <row r="247" spans="1:16" s="7" customFormat="1">
      <c r="A247" s="189" t="s">
        <v>952</v>
      </c>
      <c r="B247" s="190">
        <v>0</v>
      </c>
      <c r="C247" s="190">
        <v>0</v>
      </c>
      <c r="D247" s="190">
        <v>7696.4279999999999</v>
      </c>
      <c r="E247" s="190">
        <v>7696.4279999999999</v>
      </c>
      <c r="F247" s="190">
        <v>0</v>
      </c>
      <c r="G247" s="190">
        <v>0</v>
      </c>
      <c r="I247" s="186" t="s">
        <v>1340</v>
      </c>
      <c r="J247" s="188">
        <v>37.1</v>
      </c>
      <c r="K247" s="188">
        <v>0</v>
      </c>
      <c r="L247" s="188">
        <v>0</v>
      </c>
      <c r="M247" s="188">
        <v>37.1</v>
      </c>
      <c r="N247" s="188">
        <v>0</v>
      </c>
      <c r="O247" s="188">
        <v>0</v>
      </c>
      <c r="P247" s="193"/>
    </row>
    <row r="248" spans="1:16" s="7" customFormat="1">
      <c r="A248" s="189" t="s">
        <v>953</v>
      </c>
      <c r="B248" s="190">
        <v>0</v>
      </c>
      <c r="C248" s="190">
        <v>0</v>
      </c>
      <c r="D248" s="190">
        <v>1509.3</v>
      </c>
      <c r="E248" s="190">
        <v>1509.3</v>
      </c>
      <c r="F248" s="190">
        <v>0</v>
      </c>
      <c r="G248" s="190">
        <v>0</v>
      </c>
      <c r="I248" s="186" t="s">
        <v>1341</v>
      </c>
      <c r="J248" s="188">
        <v>261.64105999999998</v>
      </c>
      <c r="K248" s="188">
        <v>0</v>
      </c>
      <c r="L248" s="188">
        <v>0</v>
      </c>
      <c r="M248" s="188">
        <v>0</v>
      </c>
      <c r="N248" s="188">
        <v>261.64105999999998</v>
      </c>
      <c r="O248" s="188">
        <v>0</v>
      </c>
      <c r="P248" s="193"/>
    </row>
    <row r="249" spans="1:16" s="7" customFormat="1">
      <c r="A249" s="189" t="s">
        <v>954</v>
      </c>
      <c r="B249" s="190">
        <v>0</v>
      </c>
      <c r="C249" s="190">
        <v>0</v>
      </c>
      <c r="D249" s="190">
        <v>1345.37</v>
      </c>
      <c r="E249" s="190">
        <v>1345.37</v>
      </c>
      <c r="F249" s="190">
        <v>0</v>
      </c>
      <c r="G249" s="190">
        <v>0</v>
      </c>
      <c r="I249" s="186" t="s">
        <v>1342</v>
      </c>
      <c r="J249" s="188">
        <v>0</v>
      </c>
      <c r="K249" s="188">
        <v>0</v>
      </c>
      <c r="L249" s="188">
        <v>130</v>
      </c>
      <c r="M249" s="188">
        <v>130</v>
      </c>
      <c r="N249" s="188">
        <v>0</v>
      </c>
      <c r="O249" s="188">
        <v>0</v>
      </c>
      <c r="P249" s="193"/>
    </row>
    <row r="250" spans="1:16" s="7" customFormat="1">
      <c r="A250" s="189" t="s">
        <v>955</v>
      </c>
      <c r="B250" s="190">
        <v>23935.110399999998</v>
      </c>
      <c r="C250" s="190">
        <v>0</v>
      </c>
      <c r="D250" s="190">
        <v>1376.8</v>
      </c>
      <c r="E250" s="190">
        <v>24615.110399999998</v>
      </c>
      <c r="F250" s="190">
        <v>696.8</v>
      </c>
      <c r="G250" s="190">
        <v>0</v>
      </c>
      <c r="I250" s="186" t="s">
        <v>1343</v>
      </c>
      <c r="J250" s="188">
        <v>8.4320799999999991</v>
      </c>
      <c r="K250" s="188">
        <v>0</v>
      </c>
      <c r="L250" s="188">
        <v>8264.58</v>
      </c>
      <c r="M250" s="188">
        <v>8273.0073899999988</v>
      </c>
      <c r="N250" s="188">
        <v>4.6900000000000006E-3</v>
      </c>
      <c r="O250" s="188">
        <v>0</v>
      </c>
      <c r="P250" s="193"/>
    </row>
    <row r="251" spans="1:16" s="7" customFormat="1">
      <c r="A251" s="189" t="s">
        <v>956</v>
      </c>
      <c r="B251" s="190">
        <v>0</v>
      </c>
      <c r="C251" s="190">
        <v>0</v>
      </c>
      <c r="D251" s="190">
        <v>5</v>
      </c>
      <c r="E251" s="190">
        <v>5</v>
      </c>
      <c r="F251" s="190">
        <v>0</v>
      </c>
      <c r="G251" s="190">
        <v>0</v>
      </c>
      <c r="I251" s="186" t="s">
        <v>1344</v>
      </c>
      <c r="J251" s="188">
        <v>0</v>
      </c>
      <c r="K251" s="188">
        <v>0</v>
      </c>
      <c r="L251" s="188">
        <v>2.4500000000000002</v>
      </c>
      <c r="M251" s="188">
        <v>2.4500000000000002</v>
      </c>
      <c r="N251" s="188">
        <v>0</v>
      </c>
      <c r="O251" s="188">
        <v>0</v>
      </c>
      <c r="P251" s="193"/>
    </row>
    <row r="252" spans="1:16" s="7" customFormat="1">
      <c r="A252" s="189" t="s">
        <v>957</v>
      </c>
      <c r="B252" s="190">
        <v>0</v>
      </c>
      <c r="C252" s="190">
        <v>0</v>
      </c>
      <c r="D252" s="190">
        <v>836.38400000000001</v>
      </c>
      <c r="E252" s="190">
        <v>836.38400000000001</v>
      </c>
      <c r="F252" s="190">
        <v>0</v>
      </c>
      <c r="G252" s="190">
        <v>0</v>
      </c>
      <c r="I252" s="186" t="s">
        <v>1345</v>
      </c>
      <c r="J252" s="188">
        <v>0</v>
      </c>
      <c r="K252" s="188">
        <v>0</v>
      </c>
      <c r="L252" s="188">
        <v>11163.628000000001</v>
      </c>
      <c r="M252" s="188">
        <v>11163.628000000001</v>
      </c>
      <c r="N252" s="188">
        <v>0</v>
      </c>
      <c r="O252" s="188">
        <v>0</v>
      </c>
      <c r="P252" s="193"/>
    </row>
    <row r="253" spans="1:16" s="7" customFormat="1">
      <c r="A253" s="189" t="s">
        <v>958</v>
      </c>
      <c r="B253" s="190">
        <v>0</v>
      </c>
      <c r="C253" s="190">
        <v>0</v>
      </c>
      <c r="D253" s="190">
        <v>12.3</v>
      </c>
      <c r="E253" s="190">
        <v>12.3</v>
      </c>
      <c r="F253" s="190">
        <v>0</v>
      </c>
      <c r="G253" s="190">
        <v>0</v>
      </c>
      <c r="I253" s="186" t="s">
        <v>1346</v>
      </c>
      <c r="J253" s="188">
        <v>0</v>
      </c>
      <c r="K253" s="188">
        <v>0</v>
      </c>
      <c r="L253" s="188">
        <v>1167</v>
      </c>
      <c r="M253" s="188">
        <v>1167</v>
      </c>
      <c r="N253" s="188">
        <v>0</v>
      </c>
      <c r="O253" s="188">
        <v>0</v>
      </c>
      <c r="P253" s="193"/>
    </row>
    <row r="254" spans="1:16" s="7" customFormat="1">
      <c r="A254" s="189" t="s">
        <v>959</v>
      </c>
      <c r="B254" s="190">
        <v>278.36854999999997</v>
      </c>
      <c r="C254" s="190">
        <v>0</v>
      </c>
      <c r="D254" s="190">
        <v>475.05584000000005</v>
      </c>
      <c r="E254" s="190">
        <v>550.21119999999996</v>
      </c>
      <c r="F254" s="190">
        <v>203.21319</v>
      </c>
      <c r="G254" s="190">
        <v>0</v>
      </c>
      <c r="I254" s="186" t="s">
        <v>1347</v>
      </c>
      <c r="J254" s="188">
        <v>0</v>
      </c>
      <c r="K254" s="188">
        <v>0</v>
      </c>
      <c r="L254" s="188">
        <v>980</v>
      </c>
      <c r="M254" s="188">
        <v>980</v>
      </c>
      <c r="N254" s="188">
        <v>0</v>
      </c>
      <c r="O254" s="188">
        <v>0</v>
      </c>
      <c r="P254" s="193"/>
    </row>
    <row r="255" spans="1:16" s="7" customFormat="1">
      <c r="A255" s="189" t="s">
        <v>960</v>
      </c>
      <c r="B255" s="190">
        <v>3.0880000000000001</v>
      </c>
      <c r="C255" s="190">
        <v>0</v>
      </c>
      <c r="D255" s="190">
        <v>0</v>
      </c>
      <c r="E255" s="190">
        <v>3.0880000000000001</v>
      </c>
      <c r="F255" s="190">
        <v>0</v>
      </c>
      <c r="G255" s="190">
        <v>0</v>
      </c>
      <c r="I255" s="186" t="s">
        <v>1348</v>
      </c>
      <c r="J255" s="188">
        <v>0</v>
      </c>
      <c r="K255" s="188">
        <v>0</v>
      </c>
      <c r="L255" s="188">
        <v>130059.18407999999</v>
      </c>
      <c r="M255" s="188">
        <v>130059.18407999999</v>
      </c>
      <c r="N255" s="188">
        <v>0</v>
      </c>
      <c r="O255" s="188">
        <v>0</v>
      </c>
      <c r="P255" s="193"/>
    </row>
    <row r="256" spans="1:16" s="7" customFormat="1">
      <c r="A256" s="189" t="s">
        <v>961</v>
      </c>
      <c r="B256" s="190">
        <v>0</v>
      </c>
      <c r="C256" s="190">
        <v>0</v>
      </c>
      <c r="D256" s="190">
        <v>3.8</v>
      </c>
      <c r="E256" s="190">
        <v>3.8</v>
      </c>
      <c r="F256" s="190">
        <v>0</v>
      </c>
      <c r="G256" s="190">
        <v>0</v>
      </c>
      <c r="I256" s="186" t="s">
        <v>1349</v>
      </c>
      <c r="J256" s="188">
        <v>0</v>
      </c>
      <c r="K256" s="188">
        <v>0</v>
      </c>
      <c r="L256" s="188">
        <v>1061.3330000000001</v>
      </c>
      <c r="M256" s="188">
        <v>1061.3330000000001</v>
      </c>
      <c r="N256" s="188">
        <v>0</v>
      </c>
      <c r="O256" s="188">
        <v>0</v>
      </c>
      <c r="P256" s="193"/>
    </row>
    <row r="257" spans="1:16" s="7" customFormat="1">
      <c r="A257" s="189" t="s">
        <v>962</v>
      </c>
      <c r="B257" s="190">
        <v>0</v>
      </c>
      <c r="C257" s="190">
        <v>0</v>
      </c>
      <c r="D257" s="190">
        <v>1472.098</v>
      </c>
      <c r="E257" s="190">
        <v>1472.098</v>
      </c>
      <c r="F257" s="190">
        <v>0</v>
      </c>
      <c r="G257" s="190">
        <v>0</v>
      </c>
      <c r="I257" s="186" t="s">
        <v>1350</v>
      </c>
      <c r="J257" s="188">
        <v>1208.8786100000002</v>
      </c>
      <c r="K257" s="188">
        <v>0</v>
      </c>
      <c r="L257" s="188">
        <v>24050</v>
      </c>
      <c r="M257" s="188">
        <v>0</v>
      </c>
      <c r="N257" s="188">
        <v>25258.87861</v>
      </c>
      <c r="O257" s="188">
        <v>0</v>
      </c>
      <c r="P257" s="193"/>
    </row>
    <row r="258" spans="1:16" s="7" customFormat="1">
      <c r="A258" s="189" t="s">
        <v>963</v>
      </c>
      <c r="B258" s="190">
        <v>134.75</v>
      </c>
      <c r="C258" s="190">
        <v>0</v>
      </c>
      <c r="D258" s="190">
        <v>1292.8900000000001</v>
      </c>
      <c r="E258" s="190">
        <v>1280.9100000000001</v>
      </c>
      <c r="F258" s="190">
        <v>146.72999999999999</v>
      </c>
      <c r="G258" s="190">
        <v>0</v>
      </c>
      <c r="I258" s="186" t="s">
        <v>1351</v>
      </c>
      <c r="J258" s="188">
        <v>0</v>
      </c>
      <c r="K258" s="188">
        <v>0</v>
      </c>
      <c r="L258" s="188">
        <v>78.400000000000006</v>
      </c>
      <c r="M258" s="188">
        <v>78.400000000000006</v>
      </c>
      <c r="N258" s="188">
        <v>0</v>
      </c>
      <c r="O258" s="188">
        <v>0</v>
      </c>
      <c r="P258" s="193"/>
    </row>
    <row r="259" spans="1:16" s="7" customFormat="1">
      <c r="A259" s="189" t="s">
        <v>964</v>
      </c>
      <c r="B259" s="190">
        <v>0</v>
      </c>
      <c r="C259" s="190">
        <v>0</v>
      </c>
      <c r="D259" s="190">
        <v>6561.63</v>
      </c>
      <c r="E259" s="190">
        <v>6561.63</v>
      </c>
      <c r="F259" s="190">
        <v>0</v>
      </c>
      <c r="G259" s="190">
        <v>0</v>
      </c>
      <c r="I259" s="186" t="s">
        <v>1352</v>
      </c>
      <c r="J259" s="188">
        <v>51.618949999999998</v>
      </c>
      <c r="K259" s="188">
        <v>0</v>
      </c>
      <c r="L259" s="188">
        <v>0</v>
      </c>
      <c r="M259" s="188">
        <v>0</v>
      </c>
      <c r="N259" s="188">
        <v>51.618949999999998</v>
      </c>
      <c r="O259" s="188">
        <v>0</v>
      </c>
      <c r="P259" s="193"/>
    </row>
    <row r="260" spans="1:16" s="7" customFormat="1">
      <c r="A260" s="189" t="s">
        <v>965</v>
      </c>
      <c r="B260" s="190">
        <v>0</v>
      </c>
      <c r="C260" s="190">
        <v>0</v>
      </c>
      <c r="D260" s="190">
        <v>180</v>
      </c>
      <c r="E260" s="190">
        <v>180</v>
      </c>
      <c r="F260" s="190">
        <v>0</v>
      </c>
      <c r="G260" s="190">
        <v>0</v>
      </c>
      <c r="I260" s="186" t="s">
        <v>1353</v>
      </c>
      <c r="J260" s="188">
        <v>0</v>
      </c>
      <c r="K260" s="188">
        <v>0</v>
      </c>
      <c r="L260" s="188">
        <v>11876.5116</v>
      </c>
      <c r="M260" s="188">
        <v>11876.5116</v>
      </c>
      <c r="N260" s="188">
        <v>0</v>
      </c>
      <c r="O260" s="188">
        <v>0</v>
      </c>
      <c r="P260" s="193"/>
    </row>
    <row r="261" spans="1:16" s="7" customFormat="1">
      <c r="A261" s="189" t="s">
        <v>966</v>
      </c>
      <c r="B261" s="190">
        <v>0</v>
      </c>
      <c r="C261" s="190">
        <v>0</v>
      </c>
      <c r="D261" s="190">
        <v>18</v>
      </c>
      <c r="E261" s="190">
        <v>18</v>
      </c>
      <c r="F261" s="190">
        <v>0</v>
      </c>
      <c r="G261" s="190">
        <v>0</v>
      </c>
      <c r="I261" s="186" t="s">
        <v>1354</v>
      </c>
      <c r="J261" s="188">
        <v>26</v>
      </c>
      <c r="K261" s="188">
        <v>0</v>
      </c>
      <c r="L261" s="188">
        <v>0</v>
      </c>
      <c r="M261" s="188">
        <v>0</v>
      </c>
      <c r="N261" s="188">
        <v>26</v>
      </c>
      <c r="O261" s="188">
        <v>0</v>
      </c>
      <c r="P261" s="193"/>
    </row>
    <row r="262" spans="1:16" s="7" customFormat="1">
      <c r="A262" s="189" t="s">
        <v>967</v>
      </c>
      <c r="B262" s="190">
        <v>0</v>
      </c>
      <c r="C262" s="190">
        <v>0</v>
      </c>
      <c r="D262" s="190">
        <v>90.7</v>
      </c>
      <c r="E262" s="190">
        <v>90.7</v>
      </c>
      <c r="F262" s="190">
        <v>0</v>
      </c>
      <c r="G262" s="190">
        <v>0</v>
      </c>
      <c r="I262" s="186" t="s">
        <v>1355</v>
      </c>
      <c r="J262" s="188">
        <v>2005.5</v>
      </c>
      <c r="K262" s="188">
        <v>0</v>
      </c>
      <c r="L262" s="188">
        <v>0</v>
      </c>
      <c r="M262" s="188">
        <v>0</v>
      </c>
      <c r="N262" s="188">
        <v>2005.5</v>
      </c>
      <c r="O262" s="188">
        <v>0</v>
      </c>
      <c r="P262" s="193"/>
    </row>
    <row r="263" spans="1:16" s="7" customFormat="1">
      <c r="A263" s="189" t="s">
        <v>968</v>
      </c>
      <c r="B263" s="190">
        <v>0</v>
      </c>
      <c r="C263" s="190">
        <v>0</v>
      </c>
      <c r="D263" s="190">
        <v>3.9</v>
      </c>
      <c r="E263" s="190">
        <v>3.9</v>
      </c>
      <c r="F263" s="190">
        <v>0</v>
      </c>
      <c r="G263" s="190">
        <v>0</v>
      </c>
      <c r="I263" s="186" t="s">
        <v>1356</v>
      </c>
      <c r="J263" s="188">
        <v>0</v>
      </c>
      <c r="K263" s="188">
        <v>0</v>
      </c>
      <c r="L263" s="188">
        <v>101.4</v>
      </c>
      <c r="M263" s="188">
        <v>101.4</v>
      </c>
      <c r="N263" s="188">
        <v>0</v>
      </c>
      <c r="O263" s="188">
        <v>0</v>
      </c>
      <c r="P263" s="193"/>
    </row>
    <row r="264" spans="1:16" s="7" customFormat="1">
      <c r="A264" s="189" t="s">
        <v>969</v>
      </c>
      <c r="B264" s="190">
        <v>0</v>
      </c>
      <c r="C264" s="190">
        <v>0</v>
      </c>
      <c r="D264" s="190">
        <v>805.59500000000003</v>
      </c>
      <c r="E264" s="190">
        <v>580.48500000000001</v>
      </c>
      <c r="F264" s="190">
        <v>225.11</v>
      </c>
      <c r="G264" s="190">
        <v>0</v>
      </c>
      <c r="I264" s="186" t="s">
        <v>1357</v>
      </c>
      <c r="J264" s="188">
        <v>0</v>
      </c>
      <c r="K264" s="188">
        <v>0</v>
      </c>
      <c r="L264" s="188">
        <v>28787.80688</v>
      </c>
      <c r="M264" s="188">
        <v>23408.44688</v>
      </c>
      <c r="N264" s="197">
        <v>5379.36</v>
      </c>
      <c r="O264" s="188">
        <v>0</v>
      </c>
      <c r="P264" s="193"/>
    </row>
    <row r="265" spans="1:16" s="7" customFormat="1">
      <c r="A265" s="189" t="s">
        <v>970</v>
      </c>
      <c r="B265" s="190">
        <v>0</v>
      </c>
      <c r="C265" s="190">
        <v>0</v>
      </c>
      <c r="D265" s="190">
        <v>23</v>
      </c>
      <c r="E265" s="190">
        <v>23</v>
      </c>
      <c r="F265" s="190">
        <v>0</v>
      </c>
      <c r="G265" s="190">
        <v>0</v>
      </c>
      <c r="I265" s="186" t="s">
        <v>1358</v>
      </c>
      <c r="J265" s="188">
        <v>0</v>
      </c>
      <c r="K265" s="188">
        <v>0</v>
      </c>
      <c r="L265" s="188">
        <v>28695</v>
      </c>
      <c r="M265" s="188">
        <v>28695</v>
      </c>
      <c r="N265" s="188">
        <v>0</v>
      </c>
      <c r="O265" s="188">
        <v>0</v>
      </c>
      <c r="P265" s="193"/>
    </row>
    <row r="266" spans="1:16" s="7" customFormat="1">
      <c r="A266" s="189" t="s">
        <v>971</v>
      </c>
      <c r="B266" s="190">
        <v>0</v>
      </c>
      <c r="C266" s="190">
        <v>0</v>
      </c>
      <c r="D266" s="190">
        <v>856.26</v>
      </c>
      <c r="E266" s="190">
        <v>850.46</v>
      </c>
      <c r="F266" s="190">
        <v>5.8</v>
      </c>
      <c r="G266" s="190">
        <v>0</v>
      </c>
      <c r="I266" s="186" t="s">
        <v>1359</v>
      </c>
      <c r="J266" s="188">
        <v>0</v>
      </c>
      <c r="K266" s="188">
        <v>0</v>
      </c>
      <c r="L266" s="188">
        <v>100.035</v>
      </c>
      <c r="M266" s="188">
        <v>76.584999999999994</v>
      </c>
      <c r="N266" s="188">
        <v>23.45</v>
      </c>
      <c r="O266" s="188">
        <v>0</v>
      </c>
      <c r="P266" s="193"/>
    </row>
    <row r="267" spans="1:16" s="7" customFormat="1">
      <c r="A267" s="189" t="s">
        <v>972</v>
      </c>
      <c r="B267" s="190">
        <v>0</v>
      </c>
      <c r="C267" s="190">
        <v>0</v>
      </c>
      <c r="D267" s="190">
        <v>2069.2260000000001</v>
      </c>
      <c r="E267" s="190">
        <v>1937.2260000000001</v>
      </c>
      <c r="F267" s="190">
        <v>132</v>
      </c>
      <c r="G267" s="190">
        <v>0</v>
      </c>
      <c r="I267" s="186" t="s">
        <v>1360</v>
      </c>
      <c r="J267" s="188">
        <v>0</v>
      </c>
      <c r="K267" s="188">
        <v>0</v>
      </c>
      <c r="L267" s="188">
        <v>437.38499999999999</v>
      </c>
      <c r="M267" s="188">
        <v>437.38499999999999</v>
      </c>
      <c r="N267" s="188">
        <v>0</v>
      </c>
      <c r="O267" s="188">
        <v>0</v>
      </c>
      <c r="P267" s="193"/>
    </row>
    <row r="268" spans="1:16" s="7" customFormat="1">
      <c r="A268" s="189" t="s">
        <v>973</v>
      </c>
      <c r="B268" s="190">
        <v>0</v>
      </c>
      <c r="C268" s="190">
        <v>0</v>
      </c>
      <c r="D268" s="190">
        <v>218.1</v>
      </c>
      <c r="E268" s="190">
        <v>218.1</v>
      </c>
      <c r="F268" s="190">
        <v>0</v>
      </c>
      <c r="G268" s="190">
        <v>0</v>
      </c>
      <c r="I268" s="186" t="s">
        <v>1361</v>
      </c>
      <c r="J268" s="188">
        <v>0</v>
      </c>
      <c r="K268" s="188">
        <v>0</v>
      </c>
      <c r="L268" s="188">
        <v>57.805999999999997</v>
      </c>
      <c r="M268" s="188">
        <v>57.805999999999997</v>
      </c>
      <c r="N268" s="188">
        <v>0</v>
      </c>
      <c r="O268" s="188">
        <v>0</v>
      </c>
      <c r="P268" s="193"/>
    </row>
    <row r="269" spans="1:16" s="7" customFormat="1">
      <c r="A269" s="189" t="s">
        <v>974</v>
      </c>
      <c r="B269" s="190">
        <v>0</v>
      </c>
      <c r="C269" s="190">
        <v>0</v>
      </c>
      <c r="D269" s="190">
        <v>63.12</v>
      </c>
      <c r="E269" s="190">
        <v>63.12</v>
      </c>
      <c r="F269" s="190">
        <v>0</v>
      </c>
      <c r="G269" s="190">
        <v>0</v>
      </c>
      <c r="I269" s="186" t="s">
        <v>1362</v>
      </c>
      <c r="J269" s="188">
        <v>0</v>
      </c>
      <c r="K269" s="188">
        <v>0</v>
      </c>
      <c r="L269" s="188">
        <v>16</v>
      </c>
      <c r="M269" s="188">
        <v>16</v>
      </c>
      <c r="N269" s="188">
        <v>0</v>
      </c>
      <c r="O269" s="188">
        <v>0</v>
      </c>
      <c r="P269" s="193"/>
    </row>
    <row r="270" spans="1:16" s="7" customFormat="1">
      <c r="A270" s="189" t="s">
        <v>975</v>
      </c>
      <c r="B270" s="190">
        <v>0</v>
      </c>
      <c r="C270" s="190">
        <v>0</v>
      </c>
      <c r="D270" s="190">
        <v>703.779</v>
      </c>
      <c r="E270" s="190">
        <v>703.779</v>
      </c>
      <c r="F270" s="190">
        <v>0</v>
      </c>
      <c r="G270" s="190">
        <v>0</v>
      </c>
      <c r="I270" s="186" t="s">
        <v>1363</v>
      </c>
      <c r="J270" s="188">
        <v>0</v>
      </c>
      <c r="K270" s="188">
        <v>0</v>
      </c>
      <c r="L270" s="188">
        <v>121.992</v>
      </c>
      <c r="M270" s="188">
        <v>121.992</v>
      </c>
      <c r="N270" s="188">
        <v>0</v>
      </c>
      <c r="O270" s="188">
        <v>0</v>
      </c>
      <c r="P270" s="193"/>
    </row>
    <row r="271" spans="1:16" s="7" customFormat="1">
      <c r="A271" s="189" t="s">
        <v>976</v>
      </c>
      <c r="B271" s="190">
        <v>0</v>
      </c>
      <c r="C271" s="190">
        <v>0</v>
      </c>
      <c r="D271" s="190">
        <v>236.59</v>
      </c>
      <c r="E271" s="190">
        <v>236.59</v>
      </c>
      <c r="F271" s="190">
        <v>0</v>
      </c>
      <c r="G271" s="190">
        <v>0</v>
      </c>
      <c r="I271" s="186" t="s">
        <v>1364</v>
      </c>
      <c r="J271" s="188">
        <v>0</v>
      </c>
      <c r="K271" s="188">
        <v>0</v>
      </c>
      <c r="L271" s="188">
        <v>1022.4</v>
      </c>
      <c r="M271" s="188">
        <v>1022.4</v>
      </c>
      <c r="N271" s="188">
        <v>0</v>
      </c>
      <c r="O271" s="188">
        <v>0</v>
      </c>
      <c r="P271" s="193"/>
    </row>
    <row r="272" spans="1:16" s="7" customFormat="1">
      <c r="A272" s="189" t="s">
        <v>977</v>
      </c>
      <c r="B272" s="190">
        <v>0</v>
      </c>
      <c r="C272" s="190">
        <v>0</v>
      </c>
      <c r="D272" s="190">
        <v>1922</v>
      </c>
      <c r="E272" s="190">
        <v>1922</v>
      </c>
      <c r="F272" s="190">
        <v>0</v>
      </c>
      <c r="G272" s="190">
        <v>0</v>
      </c>
      <c r="I272" s="186" t="s">
        <v>1365</v>
      </c>
      <c r="J272" s="188">
        <v>0</v>
      </c>
      <c r="K272" s="188">
        <v>0</v>
      </c>
      <c r="L272" s="188">
        <v>485331.81667000003</v>
      </c>
      <c r="M272" s="188">
        <v>485331.81667000003</v>
      </c>
      <c r="N272" s="188">
        <v>0</v>
      </c>
      <c r="O272" s="188">
        <v>0</v>
      </c>
      <c r="P272" s="193"/>
    </row>
    <row r="273" spans="1:16" s="7" customFormat="1">
      <c r="A273" s="189" t="s">
        <v>978</v>
      </c>
      <c r="B273" s="190">
        <v>0</v>
      </c>
      <c r="C273" s="190">
        <v>0</v>
      </c>
      <c r="D273" s="190">
        <v>50</v>
      </c>
      <c r="E273" s="190">
        <v>50</v>
      </c>
      <c r="F273" s="190">
        <v>0</v>
      </c>
      <c r="G273" s="190">
        <v>0</v>
      </c>
      <c r="I273" s="186" t="s">
        <v>1366</v>
      </c>
      <c r="J273" s="188">
        <v>0</v>
      </c>
      <c r="K273" s="188">
        <v>0</v>
      </c>
      <c r="L273" s="188">
        <v>13.08</v>
      </c>
      <c r="M273" s="188">
        <v>13.08</v>
      </c>
      <c r="N273" s="188">
        <v>0</v>
      </c>
      <c r="O273" s="188">
        <v>0</v>
      </c>
      <c r="P273" s="193"/>
    </row>
    <row r="274" spans="1:16" s="7" customFormat="1">
      <c r="A274" s="189" t="s">
        <v>979</v>
      </c>
      <c r="B274" s="190">
        <v>0</v>
      </c>
      <c r="C274" s="190">
        <v>0</v>
      </c>
      <c r="D274" s="190">
        <v>101.73</v>
      </c>
      <c r="E274" s="190">
        <v>101.73</v>
      </c>
      <c r="F274" s="190">
        <v>0</v>
      </c>
      <c r="G274" s="190">
        <v>0</v>
      </c>
      <c r="I274" s="186" t="s">
        <v>1367</v>
      </c>
      <c r="J274" s="188">
        <v>417.67500000000001</v>
      </c>
      <c r="K274" s="188">
        <v>0</v>
      </c>
      <c r="L274" s="188">
        <v>284.81</v>
      </c>
      <c r="M274" s="188">
        <v>702.48500000000001</v>
      </c>
      <c r="N274" s="188">
        <v>0</v>
      </c>
      <c r="O274" s="188">
        <v>0</v>
      </c>
      <c r="P274" s="193"/>
    </row>
    <row r="275" spans="1:16" s="7" customFormat="1">
      <c r="A275" s="189" t="s">
        <v>980</v>
      </c>
      <c r="B275" s="190">
        <v>0</v>
      </c>
      <c r="C275" s="190">
        <v>0</v>
      </c>
      <c r="D275" s="190">
        <v>37</v>
      </c>
      <c r="E275" s="190">
        <v>37</v>
      </c>
      <c r="F275" s="190">
        <v>0</v>
      </c>
      <c r="G275" s="190">
        <v>0</v>
      </c>
      <c r="I275" s="186" t="s">
        <v>1368</v>
      </c>
      <c r="J275" s="188">
        <v>1121.9000000000001</v>
      </c>
      <c r="K275" s="188">
        <v>0</v>
      </c>
      <c r="L275" s="188">
        <v>0</v>
      </c>
      <c r="M275" s="188">
        <v>53.9</v>
      </c>
      <c r="N275" s="188">
        <v>1068</v>
      </c>
      <c r="O275" s="188">
        <v>0</v>
      </c>
      <c r="P275" s="193"/>
    </row>
    <row r="276" spans="1:16" s="7" customFormat="1">
      <c r="A276" s="189" t="s">
        <v>981</v>
      </c>
      <c r="B276" s="190">
        <v>0</v>
      </c>
      <c r="C276" s="190">
        <v>0</v>
      </c>
      <c r="D276" s="190">
        <v>754.78399999999999</v>
      </c>
      <c r="E276" s="190">
        <v>754.78399999999999</v>
      </c>
      <c r="F276" s="190">
        <v>0</v>
      </c>
      <c r="G276" s="190">
        <v>0</v>
      </c>
      <c r="I276" s="186" t="s">
        <v>884</v>
      </c>
      <c r="J276" s="188">
        <v>233.33</v>
      </c>
      <c r="K276" s="188">
        <v>0</v>
      </c>
      <c r="L276" s="188">
        <v>1763.2639999999999</v>
      </c>
      <c r="M276" s="188">
        <v>1673.192</v>
      </c>
      <c r="N276" s="188">
        <v>323.40199999999999</v>
      </c>
      <c r="O276" s="188">
        <v>0</v>
      </c>
      <c r="P276" s="193"/>
    </row>
    <row r="277" spans="1:16" s="7" customFormat="1">
      <c r="A277" s="189" t="s">
        <v>982</v>
      </c>
      <c r="B277" s="190">
        <v>0</v>
      </c>
      <c r="C277" s="190">
        <v>0</v>
      </c>
      <c r="D277" s="190">
        <v>180</v>
      </c>
      <c r="E277" s="190">
        <v>180</v>
      </c>
      <c r="F277" s="190">
        <v>0</v>
      </c>
      <c r="G277" s="190">
        <v>0</v>
      </c>
      <c r="I277" s="186" t="s">
        <v>1369</v>
      </c>
      <c r="J277" s="188">
        <v>0</v>
      </c>
      <c r="K277" s="188">
        <v>0</v>
      </c>
      <c r="L277" s="188">
        <v>337.05</v>
      </c>
      <c r="M277" s="188">
        <v>337.05</v>
      </c>
      <c r="N277" s="188">
        <v>0</v>
      </c>
      <c r="O277" s="188">
        <v>0</v>
      </c>
      <c r="P277" s="193"/>
    </row>
    <row r="278" spans="1:16" s="7" customFormat="1">
      <c r="A278" s="189" t="s">
        <v>983</v>
      </c>
      <c r="B278" s="190">
        <v>0</v>
      </c>
      <c r="C278" s="190">
        <v>0</v>
      </c>
      <c r="D278" s="190">
        <v>93</v>
      </c>
      <c r="E278" s="190">
        <v>93</v>
      </c>
      <c r="F278" s="190">
        <v>0</v>
      </c>
      <c r="G278" s="190">
        <v>0</v>
      </c>
      <c r="I278" s="186" t="s">
        <v>1370</v>
      </c>
      <c r="J278" s="188">
        <v>0</v>
      </c>
      <c r="K278" s="188">
        <v>0</v>
      </c>
      <c r="L278" s="188">
        <v>18</v>
      </c>
      <c r="M278" s="188">
        <v>18</v>
      </c>
      <c r="N278" s="188">
        <v>0</v>
      </c>
      <c r="O278" s="188">
        <v>0</v>
      </c>
      <c r="P278" s="193"/>
    </row>
    <row r="279" spans="1:16" s="7" customFormat="1">
      <c r="A279" s="189" t="s">
        <v>984</v>
      </c>
      <c r="B279" s="190">
        <v>0</v>
      </c>
      <c r="C279" s="190">
        <v>0</v>
      </c>
      <c r="D279" s="190">
        <v>20</v>
      </c>
      <c r="E279" s="190">
        <v>20</v>
      </c>
      <c r="F279" s="190">
        <v>0</v>
      </c>
      <c r="G279" s="190">
        <v>0</v>
      </c>
      <c r="I279" s="186" t="s">
        <v>1371</v>
      </c>
      <c r="J279" s="188">
        <v>903</v>
      </c>
      <c r="K279" s="188">
        <v>0</v>
      </c>
      <c r="L279" s="188">
        <v>0</v>
      </c>
      <c r="M279" s="188">
        <v>0</v>
      </c>
      <c r="N279" s="188">
        <v>903</v>
      </c>
      <c r="O279" s="188">
        <v>0</v>
      </c>
      <c r="P279" s="193"/>
    </row>
    <row r="280" spans="1:16" s="7" customFormat="1">
      <c r="A280" s="189" t="s">
        <v>985</v>
      </c>
      <c r="B280" s="190">
        <v>34510</v>
      </c>
      <c r="C280" s="190">
        <v>0</v>
      </c>
      <c r="D280" s="190">
        <v>14144</v>
      </c>
      <c r="E280" s="190">
        <v>48654</v>
      </c>
      <c r="F280" s="190">
        <v>0</v>
      </c>
      <c r="G280" s="190">
        <v>0</v>
      </c>
      <c r="I280" s="186" t="s">
        <v>1372</v>
      </c>
      <c r="J280" s="188">
        <v>0</v>
      </c>
      <c r="K280" s="188">
        <v>0</v>
      </c>
      <c r="L280" s="188">
        <v>121.044</v>
      </c>
      <c r="M280" s="188">
        <v>121.044</v>
      </c>
      <c r="N280" s="188">
        <v>0</v>
      </c>
      <c r="O280" s="188">
        <v>0</v>
      </c>
      <c r="P280" s="193"/>
    </row>
    <row r="281" spans="1:16" s="7" customFormat="1">
      <c r="A281" s="189" t="s">
        <v>986</v>
      </c>
      <c r="B281" s="190">
        <v>0</v>
      </c>
      <c r="C281" s="190">
        <v>0</v>
      </c>
      <c r="D281" s="190">
        <v>396.928</v>
      </c>
      <c r="E281" s="190">
        <v>396.928</v>
      </c>
      <c r="F281" s="190">
        <v>0</v>
      </c>
      <c r="G281" s="190">
        <v>0</v>
      </c>
      <c r="I281" s="186" t="s">
        <v>1373</v>
      </c>
      <c r="J281" s="188">
        <v>0</v>
      </c>
      <c r="K281" s="188">
        <v>0</v>
      </c>
      <c r="L281" s="188">
        <v>54173.31</v>
      </c>
      <c r="M281" s="188">
        <v>54173.31</v>
      </c>
      <c r="N281" s="188">
        <v>0</v>
      </c>
      <c r="O281" s="188">
        <v>0</v>
      </c>
      <c r="P281" s="193"/>
    </row>
    <row r="282" spans="1:16" s="7" customFormat="1">
      <c r="A282" s="189" t="s">
        <v>987</v>
      </c>
      <c r="B282" s="190">
        <v>0</v>
      </c>
      <c r="C282" s="190">
        <v>0</v>
      </c>
      <c r="D282" s="190">
        <v>432.35</v>
      </c>
      <c r="E282" s="190">
        <v>432.35</v>
      </c>
      <c r="F282" s="190">
        <v>0</v>
      </c>
      <c r="G282" s="190">
        <v>0</v>
      </c>
      <c r="I282" s="186" t="s">
        <v>1374</v>
      </c>
      <c r="J282" s="188">
        <v>0</v>
      </c>
      <c r="K282" s="188">
        <v>0</v>
      </c>
      <c r="L282" s="188">
        <v>558.86500000000001</v>
      </c>
      <c r="M282" s="188">
        <v>558.86500000000001</v>
      </c>
      <c r="N282" s="188">
        <v>0</v>
      </c>
      <c r="O282" s="188">
        <v>0</v>
      </c>
      <c r="P282" s="193"/>
    </row>
    <row r="283" spans="1:16" s="7" customFormat="1">
      <c r="A283" s="189" t="s">
        <v>988</v>
      </c>
      <c r="B283" s="190">
        <v>0</v>
      </c>
      <c r="C283" s="190">
        <v>0</v>
      </c>
      <c r="D283" s="190">
        <v>1680</v>
      </c>
      <c r="E283" s="190">
        <v>1680</v>
      </c>
      <c r="F283" s="190">
        <v>0</v>
      </c>
      <c r="G283" s="190">
        <v>0</v>
      </c>
      <c r="I283" s="186" t="s">
        <v>1375</v>
      </c>
      <c r="J283" s="188">
        <v>75.478499999999997</v>
      </c>
      <c r="K283" s="188">
        <v>0</v>
      </c>
      <c r="L283" s="188">
        <v>637.68319999999994</v>
      </c>
      <c r="M283" s="188">
        <v>603.13235999999995</v>
      </c>
      <c r="N283" s="188">
        <v>110.02933999999999</v>
      </c>
      <c r="O283" s="188">
        <v>0</v>
      </c>
      <c r="P283" s="193"/>
    </row>
    <row r="284" spans="1:16" s="7" customFormat="1">
      <c r="A284" s="189" t="s">
        <v>989</v>
      </c>
      <c r="B284" s="190">
        <v>0</v>
      </c>
      <c r="C284" s="190">
        <v>0</v>
      </c>
      <c r="D284" s="190">
        <v>32769.508379999999</v>
      </c>
      <c r="E284" s="190">
        <v>32769.508379999999</v>
      </c>
      <c r="F284" s="190">
        <v>0</v>
      </c>
      <c r="G284" s="190">
        <v>0</v>
      </c>
      <c r="I284" s="186" t="s">
        <v>1376</v>
      </c>
      <c r="J284" s="188">
        <v>0</v>
      </c>
      <c r="K284" s="188">
        <v>0</v>
      </c>
      <c r="L284" s="188">
        <v>14.293799999999999</v>
      </c>
      <c r="M284" s="188">
        <v>14.293799999999999</v>
      </c>
      <c r="N284" s="188">
        <v>0</v>
      </c>
      <c r="O284" s="188">
        <v>0</v>
      </c>
      <c r="P284" s="193"/>
    </row>
    <row r="285" spans="1:16" s="7" customFormat="1">
      <c r="A285" s="189" t="s">
        <v>990</v>
      </c>
      <c r="B285" s="190">
        <v>0</v>
      </c>
      <c r="C285" s="190">
        <v>0</v>
      </c>
      <c r="D285" s="190">
        <v>590.69880000000001</v>
      </c>
      <c r="E285" s="190">
        <v>0</v>
      </c>
      <c r="F285" s="190">
        <v>590.69880000000001</v>
      </c>
      <c r="G285" s="190">
        <v>0</v>
      </c>
      <c r="I285" s="186" t="s">
        <v>889</v>
      </c>
      <c r="J285" s="188">
        <v>5.4329999999999998</v>
      </c>
      <c r="K285" s="188">
        <v>0</v>
      </c>
      <c r="L285" s="188">
        <v>101.75</v>
      </c>
      <c r="M285" s="188">
        <v>101.75</v>
      </c>
      <c r="N285" s="188">
        <v>5.4329999999999998</v>
      </c>
      <c r="O285" s="188">
        <v>0</v>
      </c>
      <c r="P285" s="193"/>
    </row>
    <row r="286" spans="1:16" s="7" customFormat="1">
      <c r="A286" s="189" t="s">
        <v>991</v>
      </c>
      <c r="B286" s="190">
        <v>0</v>
      </c>
      <c r="C286" s="190">
        <v>0</v>
      </c>
      <c r="D286" s="190">
        <v>1262.4000000000001</v>
      </c>
      <c r="E286" s="190">
        <v>1262.4000000000001</v>
      </c>
      <c r="F286" s="190">
        <v>0</v>
      </c>
      <c r="G286" s="190">
        <v>0</v>
      </c>
      <c r="I286" s="186" t="s">
        <v>1377</v>
      </c>
      <c r="J286" s="188">
        <v>0</v>
      </c>
      <c r="K286" s="188">
        <v>0</v>
      </c>
      <c r="L286" s="188">
        <v>5603.47</v>
      </c>
      <c r="M286" s="188">
        <v>5603.47</v>
      </c>
      <c r="N286" s="188">
        <v>0</v>
      </c>
      <c r="O286" s="188">
        <v>0</v>
      </c>
      <c r="P286" s="193"/>
    </row>
    <row r="287" spans="1:16" s="7" customFormat="1">
      <c r="A287" s="189" t="s">
        <v>992</v>
      </c>
      <c r="B287" s="190">
        <v>0</v>
      </c>
      <c r="C287" s="190">
        <v>0</v>
      </c>
      <c r="D287" s="190">
        <v>507.12299999999999</v>
      </c>
      <c r="E287" s="190">
        <v>507.12299999999999</v>
      </c>
      <c r="F287" s="190">
        <v>0</v>
      </c>
      <c r="G287" s="190">
        <v>0</v>
      </c>
      <c r="I287" s="186" t="s">
        <v>1378</v>
      </c>
      <c r="J287" s="188">
        <v>0</v>
      </c>
      <c r="K287" s="188">
        <v>0</v>
      </c>
      <c r="L287" s="188">
        <v>200</v>
      </c>
      <c r="M287" s="188">
        <v>200</v>
      </c>
      <c r="N287" s="188">
        <v>0</v>
      </c>
      <c r="O287" s="188">
        <v>0</v>
      </c>
      <c r="P287" s="193"/>
    </row>
    <row r="288" spans="1:16" s="7" customFormat="1">
      <c r="A288" s="189" t="s">
        <v>993</v>
      </c>
      <c r="B288" s="190">
        <v>0</v>
      </c>
      <c r="C288" s="190">
        <v>0</v>
      </c>
      <c r="D288" s="190">
        <v>14958.433660000001</v>
      </c>
      <c r="E288" s="190">
        <v>14958.433660000001</v>
      </c>
      <c r="F288" s="190">
        <v>0</v>
      </c>
      <c r="G288" s="190">
        <v>0</v>
      </c>
      <c r="I288" s="186" t="s">
        <v>1379</v>
      </c>
      <c r="J288" s="188">
        <v>0</v>
      </c>
      <c r="K288" s="188">
        <v>0</v>
      </c>
      <c r="L288" s="188">
        <v>84.787499999999994</v>
      </c>
      <c r="M288" s="188">
        <v>84.787499999999994</v>
      </c>
      <c r="N288" s="188">
        <v>0</v>
      </c>
      <c r="O288" s="188">
        <v>0</v>
      </c>
      <c r="P288" s="193"/>
    </row>
    <row r="289" spans="1:16" s="7" customFormat="1">
      <c r="A289" s="189" t="s">
        <v>994</v>
      </c>
      <c r="B289" s="190">
        <v>0</v>
      </c>
      <c r="C289" s="190">
        <v>0</v>
      </c>
      <c r="D289" s="190">
        <v>330.096</v>
      </c>
      <c r="E289" s="190">
        <v>309.46499999999997</v>
      </c>
      <c r="F289" s="190">
        <v>20.631</v>
      </c>
      <c r="G289" s="190">
        <v>0</v>
      </c>
      <c r="I289" s="186" t="s">
        <v>1380</v>
      </c>
      <c r="J289" s="188">
        <v>0</v>
      </c>
      <c r="K289" s="188">
        <v>0</v>
      </c>
      <c r="L289" s="188">
        <v>6415.2814800000006</v>
      </c>
      <c r="M289" s="188">
        <v>6415.2814800000006</v>
      </c>
      <c r="N289" s="188">
        <v>0</v>
      </c>
      <c r="O289" s="188">
        <v>0</v>
      </c>
      <c r="P289" s="193"/>
    </row>
    <row r="290" spans="1:16" s="7" customFormat="1">
      <c r="A290" s="189" t="s">
        <v>995</v>
      </c>
      <c r="B290" s="190">
        <v>0</v>
      </c>
      <c r="C290" s="190">
        <v>0</v>
      </c>
      <c r="D290" s="190">
        <v>518.51904000000002</v>
      </c>
      <c r="E290" s="190">
        <v>518.51904000000002</v>
      </c>
      <c r="F290" s="190">
        <v>0</v>
      </c>
      <c r="G290" s="190">
        <v>0</v>
      </c>
      <c r="I290" s="186" t="s">
        <v>1381</v>
      </c>
      <c r="J290" s="188">
        <v>0</v>
      </c>
      <c r="K290" s="188">
        <v>0</v>
      </c>
      <c r="L290" s="188">
        <v>150</v>
      </c>
      <c r="M290" s="188">
        <v>150</v>
      </c>
      <c r="N290" s="188">
        <v>0</v>
      </c>
      <c r="O290" s="188">
        <v>0</v>
      </c>
      <c r="P290" s="193"/>
    </row>
    <row r="291" spans="1:16" s="7" customFormat="1">
      <c r="A291" s="189" t="s">
        <v>996</v>
      </c>
      <c r="B291" s="190">
        <v>1265.5440000000001</v>
      </c>
      <c r="C291" s="190">
        <v>0</v>
      </c>
      <c r="D291" s="190">
        <v>439.92349999999999</v>
      </c>
      <c r="E291" s="190">
        <v>1705.4675</v>
      </c>
      <c r="F291" s="190">
        <v>0</v>
      </c>
      <c r="G291" s="190">
        <v>0</v>
      </c>
      <c r="I291" s="186" t="s">
        <v>1382</v>
      </c>
      <c r="J291" s="188">
        <v>0</v>
      </c>
      <c r="K291" s="188">
        <v>0</v>
      </c>
      <c r="L291" s="188">
        <v>1668.6</v>
      </c>
      <c r="M291" s="188">
        <v>1668.6</v>
      </c>
      <c r="N291" s="188">
        <v>0</v>
      </c>
      <c r="O291" s="188">
        <v>0</v>
      </c>
      <c r="P291" s="193"/>
    </row>
    <row r="292" spans="1:16" s="7" customFormat="1">
      <c r="A292" s="189" t="s">
        <v>997</v>
      </c>
      <c r="B292" s="190">
        <v>0</v>
      </c>
      <c r="C292" s="190">
        <v>0</v>
      </c>
      <c r="D292" s="190">
        <v>2490.6346400000002</v>
      </c>
      <c r="E292" s="190">
        <v>2490.6346400000002</v>
      </c>
      <c r="F292" s="190">
        <v>0</v>
      </c>
      <c r="G292" s="190">
        <v>0</v>
      </c>
      <c r="I292" s="186" t="s">
        <v>1383</v>
      </c>
      <c r="J292" s="188">
        <v>3.93</v>
      </c>
      <c r="K292" s="188">
        <v>0</v>
      </c>
      <c r="L292" s="188">
        <v>668.68919999999991</v>
      </c>
      <c r="M292" s="188">
        <v>0</v>
      </c>
      <c r="N292" s="188">
        <v>672.61919999999998</v>
      </c>
      <c r="O292" s="188">
        <v>0</v>
      </c>
      <c r="P292" s="193"/>
    </row>
    <row r="293" spans="1:16" s="7" customFormat="1">
      <c r="A293" s="189" t="s">
        <v>998</v>
      </c>
      <c r="B293" s="190">
        <v>0</v>
      </c>
      <c r="C293" s="190">
        <v>0</v>
      </c>
      <c r="D293" s="190">
        <v>5908.1040000000003</v>
      </c>
      <c r="E293" s="190">
        <v>5908.1040000000003</v>
      </c>
      <c r="F293" s="190">
        <v>0</v>
      </c>
      <c r="G293" s="190">
        <v>0</v>
      </c>
      <c r="I293" s="186" t="s">
        <v>1384</v>
      </c>
      <c r="J293" s="188">
        <v>0</v>
      </c>
      <c r="K293" s="188">
        <v>0</v>
      </c>
      <c r="L293" s="188">
        <v>291.52499999999998</v>
      </c>
      <c r="M293" s="188">
        <v>291.52499999999998</v>
      </c>
      <c r="N293" s="188">
        <v>0</v>
      </c>
      <c r="O293" s="188">
        <v>0</v>
      </c>
      <c r="P293" s="193"/>
    </row>
    <row r="294" spans="1:16" s="7" customFormat="1">
      <c r="A294" s="189" t="s">
        <v>999</v>
      </c>
      <c r="B294" s="190">
        <v>0</v>
      </c>
      <c r="C294" s="190">
        <v>0</v>
      </c>
      <c r="D294" s="190">
        <v>1073.3399999999999</v>
      </c>
      <c r="E294" s="190">
        <v>1073.3399999999999</v>
      </c>
      <c r="F294" s="190">
        <v>0</v>
      </c>
      <c r="G294" s="190">
        <v>0</v>
      </c>
      <c r="I294" s="186" t="s">
        <v>1385</v>
      </c>
      <c r="J294" s="188">
        <v>0</v>
      </c>
      <c r="K294" s="188">
        <v>0</v>
      </c>
      <c r="L294" s="188">
        <v>336.9</v>
      </c>
      <c r="M294" s="188">
        <v>336.9</v>
      </c>
      <c r="N294" s="188">
        <v>0</v>
      </c>
      <c r="O294" s="188">
        <v>0</v>
      </c>
      <c r="P294" s="193"/>
    </row>
    <row r="295" spans="1:16" s="7" customFormat="1">
      <c r="A295" s="189" t="s">
        <v>1000</v>
      </c>
      <c r="B295" s="190">
        <v>0</v>
      </c>
      <c r="C295" s="190">
        <v>0</v>
      </c>
      <c r="D295" s="190">
        <v>264</v>
      </c>
      <c r="E295" s="190">
        <v>264</v>
      </c>
      <c r="F295" s="190">
        <v>0</v>
      </c>
      <c r="G295" s="190">
        <v>0</v>
      </c>
      <c r="I295" s="186" t="s">
        <v>1386</v>
      </c>
      <c r="J295" s="188">
        <v>155.68</v>
      </c>
      <c r="K295" s="188">
        <v>0</v>
      </c>
      <c r="L295" s="188">
        <v>0</v>
      </c>
      <c r="M295" s="188">
        <v>0</v>
      </c>
      <c r="N295" s="188">
        <v>155.68</v>
      </c>
      <c r="O295" s="188">
        <v>0</v>
      </c>
      <c r="P295" s="193"/>
    </row>
    <row r="296" spans="1:16" s="7" customFormat="1">
      <c r="A296" s="189" t="s">
        <v>1001</v>
      </c>
      <c r="B296" s="190">
        <v>0</v>
      </c>
      <c r="C296" s="190">
        <v>0</v>
      </c>
      <c r="D296" s="190">
        <v>1</v>
      </c>
      <c r="E296" s="190">
        <v>1</v>
      </c>
      <c r="F296" s="190">
        <v>0</v>
      </c>
      <c r="G296" s="190">
        <v>0</v>
      </c>
      <c r="I296" s="186" t="s">
        <v>1387</v>
      </c>
      <c r="J296" s="188">
        <v>0</v>
      </c>
      <c r="K296" s="188">
        <v>0</v>
      </c>
      <c r="L296" s="188">
        <v>2634.24</v>
      </c>
      <c r="M296" s="188">
        <v>2634.24</v>
      </c>
      <c r="N296" s="188">
        <v>0</v>
      </c>
      <c r="O296" s="188">
        <v>0</v>
      </c>
      <c r="P296" s="193"/>
    </row>
    <row r="297" spans="1:16" s="7" customFormat="1">
      <c r="A297" s="189" t="s">
        <v>1002</v>
      </c>
      <c r="B297" s="190">
        <v>0</v>
      </c>
      <c r="C297" s="190">
        <v>0</v>
      </c>
      <c r="D297" s="190">
        <v>324.99799999999999</v>
      </c>
      <c r="E297" s="190">
        <v>324.99799999999999</v>
      </c>
      <c r="F297" s="190">
        <v>0</v>
      </c>
      <c r="G297" s="190">
        <v>0</v>
      </c>
      <c r="I297" s="186" t="s">
        <v>1388</v>
      </c>
      <c r="J297" s="188">
        <v>305.928</v>
      </c>
      <c r="K297" s="188">
        <v>0</v>
      </c>
      <c r="L297" s="188">
        <v>2310.5699599999998</v>
      </c>
      <c r="M297" s="188">
        <v>2616.4979600000001</v>
      </c>
      <c r="N297" s="188">
        <v>0</v>
      </c>
      <c r="O297" s="188">
        <v>0</v>
      </c>
      <c r="P297" s="193"/>
    </row>
    <row r="298" spans="1:16" s="7" customFormat="1">
      <c r="A298" s="189" t="s">
        <v>1003</v>
      </c>
      <c r="B298" s="190">
        <v>0</v>
      </c>
      <c r="C298" s="190">
        <v>0</v>
      </c>
      <c r="D298" s="190">
        <v>6.61</v>
      </c>
      <c r="E298" s="190">
        <v>6.61</v>
      </c>
      <c r="F298" s="190">
        <v>0</v>
      </c>
      <c r="G298" s="190">
        <v>0</v>
      </c>
      <c r="I298" s="186" t="s">
        <v>1389</v>
      </c>
      <c r="J298" s="188">
        <v>0</v>
      </c>
      <c r="K298" s="188">
        <v>0</v>
      </c>
      <c r="L298" s="188">
        <v>594.34597999999994</v>
      </c>
      <c r="M298" s="188">
        <v>594.34597999999994</v>
      </c>
      <c r="N298" s="188">
        <v>0</v>
      </c>
      <c r="O298" s="188">
        <v>0</v>
      </c>
      <c r="P298" s="193"/>
    </row>
    <row r="299" spans="1:16" s="7" customFormat="1">
      <c r="A299" s="189" t="s">
        <v>1004</v>
      </c>
      <c r="B299" s="190">
        <v>0</v>
      </c>
      <c r="C299" s="190">
        <v>0</v>
      </c>
      <c r="D299" s="190">
        <v>10.7744</v>
      </c>
      <c r="E299" s="190">
        <v>10.7744</v>
      </c>
      <c r="F299" s="190">
        <v>0</v>
      </c>
      <c r="G299" s="190">
        <v>0</v>
      </c>
      <c r="I299" s="186" t="s">
        <v>1390</v>
      </c>
      <c r="J299" s="188">
        <v>791.25</v>
      </c>
      <c r="K299" s="188">
        <v>0</v>
      </c>
      <c r="L299" s="188">
        <v>791.25</v>
      </c>
      <c r="M299" s="188">
        <v>1582.5</v>
      </c>
      <c r="N299" s="188">
        <v>0</v>
      </c>
      <c r="O299" s="188">
        <v>0</v>
      </c>
      <c r="P299" s="193"/>
    </row>
    <row r="300" spans="1:16" s="7" customFormat="1">
      <c r="A300" s="189" t="s">
        <v>1005</v>
      </c>
      <c r="B300" s="190">
        <v>0</v>
      </c>
      <c r="C300" s="190">
        <v>0</v>
      </c>
      <c r="D300" s="190">
        <v>411.3</v>
      </c>
      <c r="E300" s="190">
        <v>411.3</v>
      </c>
      <c r="F300" s="190">
        <v>0</v>
      </c>
      <c r="G300" s="190">
        <v>0</v>
      </c>
      <c r="I300" s="186" t="s">
        <v>1391</v>
      </c>
      <c r="J300" s="188">
        <v>390</v>
      </c>
      <c r="K300" s="188">
        <v>0</v>
      </c>
      <c r="L300" s="188">
        <v>0</v>
      </c>
      <c r="M300" s="188">
        <v>390</v>
      </c>
      <c r="N300" s="188">
        <v>0</v>
      </c>
      <c r="O300" s="188">
        <v>0</v>
      </c>
      <c r="P300" s="193"/>
    </row>
    <row r="301" spans="1:16" s="7" customFormat="1">
      <c r="A301" s="189" t="s">
        <v>1006</v>
      </c>
      <c r="B301" s="190">
        <v>0</v>
      </c>
      <c r="C301" s="190">
        <v>0</v>
      </c>
      <c r="D301" s="190">
        <v>34.1</v>
      </c>
      <c r="E301" s="190">
        <v>34.1</v>
      </c>
      <c r="F301" s="190">
        <v>0</v>
      </c>
      <c r="G301" s="190">
        <v>0</v>
      </c>
      <c r="I301" s="186" t="s">
        <v>1392</v>
      </c>
      <c r="J301" s="188">
        <v>178</v>
      </c>
      <c r="K301" s="188">
        <v>0</v>
      </c>
      <c r="L301" s="188">
        <v>0</v>
      </c>
      <c r="M301" s="188">
        <v>0</v>
      </c>
      <c r="N301" s="188">
        <v>178</v>
      </c>
      <c r="O301" s="188">
        <v>0</v>
      </c>
      <c r="P301" s="193"/>
    </row>
    <row r="302" spans="1:16" s="7" customFormat="1">
      <c r="A302" s="189" t="s">
        <v>1007</v>
      </c>
      <c r="B302" s="190">
        <v>0</v>
      </c>
      <c r="C302" s="190">
        <v>0</v>
      </c>
      <c r="D302" s="190">
        <v>3.6</v>
      </c>
      <c r="E302" s="190">
        <v>3.6</v>
      </c>
      <c r="F302" s="190">
        <v>0</v>
      </c>
      <c r="G302" s="190">
        <v>0</v>
      </c>
      <c r="I302" s="186" t="s">
        <v>1393</v>
      </c>
      <c r="J302" s="188">
        <v>0</v>
      </c>
      <c r="K302" s="188">
        <v>0</v>
      </c>
      <c r="L302" s="188">
        <v>176.8</v>
      </c>
      <c r="M302" s="188">
        <v>176.8</v>
      </c>
      <c r="N302" s="188">
        <v>0</v>
      </c>
      <c r="O302" s="188">
        <v>0</v>
      </c>
      <c r="P302" s="193"/>
    </row>
    <row r="303" spans="1:16" s="7" customFormat="1">
      <c r="A303" s="189" t="s">
        <v>1008</v>
      </c>
      <c r="B303" s="190">
        <v>0</v>
      </c>
      <c r="C303" s="190">
        <v>0</v>
      </c>
      <c r="D303" s="190">
        <v>36</v>
      </c>
      <c r="E303" s="190">
        <v>36</v>
      </c>
      <c r="F303" s="190">
        <v>0</v>
      </c>
      <c r="G303" s="190">
        <v>0</v>
      </c>
      <c r="I303" s="186" t="s">
        <v>1394</v>
      </c>
      <c r="J303" s="188">
        <v>0</v>
      </c>
      <c r="K303" s="188">
        <v>0</v>
      </c>
      <c r="L303" s="188">
        <v>536.52200000000005</v>
      </c>
      <c r="M303" s="188">
        <v>536.52200000000005</v>
      </c>
      <c r="N303" s="188">
        <v>0</v>
      </c>
      <c r="O303" s="188">
        <v>0</v>
      </c>
      <c r="P303" s="193"/>
    </row>
    <row r="304" spans="1:16" s="7" customFormat="1">
      <c r="A304" s="189" t="s">
        <v>1009</v>
      </c>
      <c r="B304" s="190">
        <v>2773.4</v>
      </c>
      <c r="C304" s="190">
        <v>0</v>
      </c>
      <c r="D304" s="190">
        <v>0</v>
      </c>
      <c r="E304" s="190">
        <v>2773.4</v>
      </c>
      <c r="F304" s="190">
        <v>0</v>
      </c>
      <c r="G304" s="190">
        <v>0</v>
      </c>
      <c r="I304" s="186" t="s">
        <v>1395</v>
      </c>
      <c r="J304" s="188">
        <v>0</v>
      </c>
      <c r="K304" s="188">
        <v>0</v>
      </c>
      <c r="L304" s="188">
        <v>152.4</v>
      </c>
      <c r="M304" s="188">
        <v>152.4</v>
      </c>
      <c r="N304" s="188">
        <v>0</v>
      </c>
      <c r="O304" s="188">
        <v>0</v>
      </c>
      <c r="P304" s="193"/>
    </row>
    <row r="305" spans="1:16" s="7" customFormat="1">
      <c r="A305" s="189" t="s">
        <v>1010</v>
      </c>
      <c r="B305" s="190">
        <v>0</v>
      </c>
      <c r="C305" s="190">
        <v>0</v>
      </c>
      <c r="D305" s="190">
        <v>6300</v>
      </c>
      <c r="E305" s="190">
        <v>6300</v>
      </c>
      <c r="F305" s="190">
        <v>0</v>
      </c>
      <c r="G305" s="190">
        <v>0</v>
      </c>
      <c r="I305" s="186" t="s">
        <v>1396</v>
      </c>
      <c r="J305" s="188">
        <v>3527.7579999999998</v>
      </c>
      <c r="K305" s="188">
        <v>0</v>
      </c>
      <c r="L305" s="188">
        <v>8282.1811900000012</v>
      </c>
      <c r="M305" s="188">
        <v>7916.4832000000006</v>
      </c>
      <c r="N305" s="188">
        <v>3893.4559900000004</v>
      </c>
      <c r="O305" s="188">
        <v>0</v>
      </c>
      <c r="P305" s="193"/>
    </row>
    <row r="306" spans="1:16" s="7" customFormat="1">
      <c r="A306" s="189" t="s">
        <v>1011</v>
      </c>
      <c r="B306" s="190">
        <v>0</v>
      </c>
      <c r="C306" s="190">
        <v>0</v>
      </c>
      <c r="D306" s="190">
        <v>35</v>
      </c>
      <c r="E306" s="190">
        <v>35</v>
      </c>
      <c r="F306" s="190">
        <v>0</v>
      </c>
      <c r="G306" s="190">
        <v>0</v>
      </c>
      <c r="I306" s="186" t="s">
        <v>1397</v>
      </c>
      <c r="J306" s="188">
        <v>0</v>
      </c>
      <c r="K306" s="188">
        <v>0</v>
      </c>
      <c r="L306" s="188">
        <v>6091.1286700000001</v>
      </c>
      <c r="M306" s="188">
        <v>6091.1286700000001</v>
      </c>
      <c r="N306" s="188">
        <v>0</v>
      </c>
      <c r="O306" s="188">
        <v>0</v>
      </c>
      <c r="P306" s="193"/>
    </row>
    <row r="307" spans="1:16" s="7" customFormat="1">
      <c r="A307" s="189" t="s">
        <v>1012</v>
      </c>
      <c r="B307" s="190">
        <v>0</v>
      </c>
      <c r="C307" s="190">
        <v>0</v>
      </c>
      <c r="D307" s="190">
        <v>1512</v>
      </c>
      <c r="E307" s="190">
        <v>0</v>
      </c>
      <c r="F307" s="190">
        <v>1512</v>
      </c>
      <c r="G307" s="190">
        <v>0</v>
      </c>
      <c r="I307" s="186" t="s">
        <v>1398</v>
      </c>
      <c r="J307" s="188">
        <v>0</v>
      </c>
      <c r="K307" s="188">
        <v>0</v>
      </c>
      <c r="L307" s="188">
        <v>6583.1216199999999</v>
      </c>
      <c r="M307" s="188">
        <v>6583.1216199999999</v>
      </c>
      <c r="N307" s="188">
        <v>0</v>
      </c>
      <c r="O307" s="188">
        <v>0</v>
      </c>
      <c r="P307" s="193"/>
    </row>
    <row r="308" spans="1:16" s="7" customFormat="1">
      <c r="A308" s="189" t="s">
        <v>1013</v>
      </c>
      <c r="B308" s="190">
        <v>0</v>
      </c>
      <c r="C308" s="190">
        <v>0</v>
      </c>
      <c r="D308" s="190">
        <v>5000.1000000000004</v>
      </c>
      <c r="E308" s="190">
        <v>5000.1000000000004</v>
      </c>
      <c r="F308" s="190">
        <v>0</v>
      </c>
      <c r="G308" s="190">
        <v>0</v>
      </c>
      <c r="I308" s="186" t="s">
        <v>1399</v>
      </c>
      <c r="J308" s="188">
        <v>0</v>
      </c>
      <c r="K308" s="188">
        <v>0</v>
      </c>
      <c r="L308" s="188">
        <v>12191.2</v>
      </c>
      <c r="M308" s="188">
        <v>12191.2</v>
      </c>
      <c r="N308" s="188">
        <v>0</v>
      </c>
      <c r="O308" s="188">
        <v>0</v>
      </c>
      <c r="P308" s="193"/>
    </row>
    <row r="309" spans="1:16" s="7" customFormat="1">
      <c r="A309" s="189" t="s">
        <v>1014</v>
      </c>
      <c r="B309" s="190">
        <v>0</v>
      </c>
      <c r="C309" s="190">
        <v>0</v>
      </c>
      <c r="D309" s="190">
        <v>656.61099999999999</v>
      </c>
      <c r="E309" s="190">
        <v>0</v>
      </c>
      <c r="F309" s="190">
        <v>656.61099999999999</v>
      </c>
      <c r="G309" s="190">
        <v>0</v>
      </c>
      <c r="I309" s="186" t="s">
        <v>1400</v>
      </c>
      <c r="J309" s="188">
        <v>665</v>
      </c>
      <c r="K309" s="188">
        <v>0</v>
      </c>
      <c r="L309" s="188">
        <v>6458.11</v>
      </c>
      <c r="M309" s="188">
        <v>5822.9229999999998</v>
      </c>
      <c r="N309" s="188">
        <v>1300.1869999999999</v>
      </c>
      <c r="O309" s="188">
        <v>0</v>
      </c>
      <c r="P309" s="193"/>
    </row>
    <row r="310" spans="1:16" s="7" customFormat="1">
      <c r="A310" s="189" t="s">
        <v>1015</v>
      </c>
      <c r="B310" s="190">
        <v>4.8999999999999998E-4</v>
      </c>
      <c r="C310" s="190">
        <v>0</v>
      </c>
      <c r="D310" s="190">
        <v>2.1289600000000002</v>
      </c>
      <c r="E310" s="190">
        <v>2.1294499999999998</v>
      </c>
      <c r="F310" s="190">
        <v>0</v>
      </c>
      <c r="G310" s="190">
        <v>0</v>
      </c>
      <c r="I310" s="186" t="s">
        <v>1401</v>
      </c>
      <c r="J310" s="188">
        <v>18</v>
      </c>
      <c r="K310" s="188">
        <v>0</v>
      </c>
      <c r="L310" s="188">
        <v>0</v>
      </c>
      <c r="M310" s="188">
        <v>0</v>
      </c>
      <c r="N310" s="188">
        <v>18</v>
      </c>
      <c r="O310" s="188">
        <v>0</v>
      </c>
      <c r="P310" s="193"/>
    </row>
    <row r="311" spans="1:16" s="7" customFormat="1">
      <c r="A311" s="189" t="s">
        <v>1016</v>
      </c>
      <c r="B311" s="190">
        <v>264.16000000000003</v>
      </c>
      <c r="C311" s="190">
        <v>0</v>
      </c>
      <c r="D311" s="190">
        <v>0</v>
      </c>
      <c r="E311" s="190">
        <v>264.16000000000003</v>
      </c>
      <c r="F311" s="190">
        <v>0</v>
      </c>
      <c r="G311" s="190">
        <v>0</v>
      </c>
      <c r="I311" s="186" t="s">
        <v>1402</v>
      </c>
      <c r="J311" s="188">
        <v>0</v>
      </c>
      <c r="K311" s="188">
        <v>0</v>
      </c>
      <c r="L311" s="188">
        <v>728.76175999999998</v>
      </c>
      <c r="M311" s="188">
        <v>728.76175999999998</v>
      </c>
      <c r="N311" s="188">
        <v>0</v>
      </c>
      <c r="O311" s="188">
        <v>0</v>
      </c>
      <c r="P311" s="193"/>
    </row>
    <row r="312" spans="1:16" s="7" customFormat="1">
      <c r="A312" s="189" t="s">
        <v>1017</v>
      </c>
      <c r="B312" s="190">
        <v>0</v>
      </c>
      <c r="C312" s="190">
        <v>0</v>
      </c>
      <c r="D312" s="190">
        <v>214.88</v>
      </c>
      <c r="E312" s="190">
        <v>214.88</v>
      </c>
      <c r="F312" s="190">
        <v>0</v>
      </c>
      <c r="G312" s="190">
        <v>0</v>
      </c>
      <c r="I312" s="186" t="s">
        <v>1403</v>
      </c>
      <c r="J312" s="188">
        <v>0</v>
      </c>
      <c r="K312" s="188">
        <v>0</v>
      </c>
      <c r="L312" s="188">
        <v>7499.9949999999999</v>
      </c>
      <c r="M312" s="188">
        <v>7499.9949999999999</v>
      </c>
      <c r="N312" s="188">
        <v>0</v>
      </c>
      <c r="O312" s="188">
        <v>0</v>
      </c>
      <c r="P312" s="193"/>
    </row>
    <row r="313" spans="1:16" s="7" customFormat="1">
      <c r="A313" s="189" t="s">
        <v>1018</v>
      </c>
      <c r="B313" s="190">
        <v>0</v>
      </c>
      <c r="C313" s="190">
        <v>0</v>
      </c>
      <c r="D313" s="190">
        <v>34</v>
      </c>
      <c r="E313" s="190">
        <v>34</v>
      </c>
      <c r="F313" s="190">
        <v>0</v>
      </c>
      <c r="G313" s="190">
        <v>0</v>
      </c>
      <c r="I313" s="186" t="s">
        <v>1404</v>
      </c>
      <c r="J313" s="188">
        <v>0</v>
      </c>
      <c r="K313" s="188">
        <v>0</v>
      </c>
      <c r="L313" s="188">
        <v>25198.918329999997</v>
      </c>
      <c r="M313" s="188">
        <v>25198.918329999997</v>
      </c>
      <c r="N313" s="188">
        <v>0</v>
      </c>
      <c r="O313" s="188">
        <v>0</v>
      </c>
      <c r="P313" s="193"/>
    </row>
    <row r="314" spans="1:16" s="7" customFormat="1">
      <c r="A314" s="189" t="s">
        <v>1019</v>
      </c>
      <c r="B314" s="190">
        <v>0</v>
      </c>
      <c r="C314" s="190">
        <v>0</v>
      </c>
      <c r="D314" s="190">
        <v>172</v>
      </c>
      <c r="E314" s="190">
        <v>172</v>
      </c>
      <c r="F314" s="190">
        <v>0</v>
      </c>
      <c r="G314" s="190">
        <v>0</v>
      </c>
      <c r="I314" s="186" t="s">
        <v>1405</v>
      </c>
      <c r="J314" s="188">
        <v>0</v>
      </c>
      <c r="K314" s="188">
        <v>0</v>
      </c>
      <c r="L314" s="188">
        <v>183.48</v>
      </c>
      <c r="M314" s="188">
        <v>183.48</v>
      </c>
      <c r="N314" s="188">
        <v>0</v>
      </c>
      <c r="O314" s="188">
        <v>0</v>
      </c>
      <c r="P314" s="193"/>
    </row>
    <row r="315" spans="1:16" s="7" customFormat="1">
      <c r="A315" s="189" t="s">
        <v>1020</v>
      </c>
      <c r="B315" s="190">
        <v>0</v>
      </c>
      <c r="C315" s="190">
        <v>0</v>
      </c>
      <c r="D315" s="190">
        <v>229.96604000000002</v>
      </c>
      <c r="E315" s="190">
        <v>229.96604000000002</v>
      </c>
      <c r="F315" s="190">
        <v>0</v>
      </c>
      <c r="G315" s="190">
        <v>0</v>
      </c>
      <c r="I315" s="186" t="s">
        <v>1406</v>
      </c>
      <c r="J315" s="188">
        <v>0</v>
      </c>
      <c r="K315" s="188">
        <v>0</v>
      </c>
      <c r="L315" s="188">
        <v>720</v>
      </c>
      <c r="M315" s="188">
        <v>720</v>
      </c>
      <c r="N315" s="188">
        <v>0</v>
      </c>
      <c r="O315" s="188">
        <v>0</v>
      </c>
      <c r="P315" s="193"/>
    </row>
    <row r="316" spans="1:16" s="7" customFormat="1">
      <c r="A316" s="189" t="s">
        <v>1021</v>
      </c>
      <c r="B316" s="190">
        <v>0</v>
      </c>
      <c r="C316" s="190">
        <v>0</v>
      </c>
      <c r="D316" s="190">
        <v>291.64800000000002</v>
      </c>
      <c r="E316" s="190">
        <v>291.64800000000002</v>
      </c>
      <c r="F316" s="190">
        <v>0</v>
      </c>
      <c r="G316" s="190">
        <v>0</v>
      </c>
      <c r="I316" s="186" t="s">
        <v>1407</v>
      </c>
      <c r="J316" s="188">
        <v>0</v>
      </c>
      <c r="K316" s="188">
        <v>0</v>
      </c>
      <c r="L316" s="188">
        <v>1.98</v>
      </c>
      <c r="M316" s="188">
        <v>1.98</v>
      </c>
      <c r="N316" s="188">
        <v>0</v>
      </c>
      <c r="O316" s="188">
        <v>0</v>
      </c>
      <c r="P316" s="193"/>
    </row>
    <row r="317" spans="1:16" s="7" customFormat="1">
      <c r="A317" s="189" t="s">
        <v>1022</v>
      </c>
      <c r="B317" s="190">
        <v>10</v>
      </c>
      <c r="C317" s="190">
        <v>0</v>
      </c>
      <c r="D317" s="190">
        <v>0</v>
      </c>
      <c r="E317" s="190">
        <v>10</v>
      </c>
      <c r="F317" s="190">
        <v>0</v>
      </c>
      <c r="G317" s="190">
        <v>0</v>
      </c>
      <c r="I317" s="186" t="s">
        <v>1408</v>
      </c>
      <c r="J317" s="188">
        <v>0</v>
      </c>
      <c r="K317" s="188">
        <v>0</v>
      </c>
      <c r="L317" s="188">
        <v>110886.89934999999</v>
      </c>
      <c r="M317" s="188">
        <v>110886.89934999999</v>
      </c>
      <c r="N317" s="188">
        <v>0</v>
      </c>
      <c r="O317" s="188">
        <v>0</v>
      </c>
      <c r="P317" s="193"/>
    </row>
    <row r="318" spans="1:16" s="7" customFormat="1">
      <c r="A318" s="189" t="s">
        <v>1023</v>
      </c>
      <c r="B318" s="190">
        <v>0</v>
      </c>
      <c r="C318" s="190">
        <v>0</v>
      </c>
      <c r="D318" s="190">
        <v>10822.647859999999</v>
      </c>
      <c r="E318" s="190">
        <v>2924.6842099999999</v>
      </c>
      <c r="F318" s="190">
        <v>7897.9636500000006</v>
      </c>
      <c r="G318" s="190">
        <v>0</v>
      </c>
      <c r="I318" s="186" t="s">
        <v>1409</v>
      </c>
      <c r="J318" s="188">
        <v>0</v>
      </c>
      <c r="K318" s="188">
        <v>0</v>
      </c>
      <c r="L318" s="188">
        <v>8508.6662699999997</v>
      </c>
      <c r="M318" s="188">
        <v>8508.6662699999997</v>
      </c>
      <c r="N318" s="188">
        <v>0</v>
      </c>
      <c r="O318" s="188">
        <v>0</v>
      </c>
      <c r="P318" s="193"/>
    </row>
    <row r="319" spans="1:16" s="7" customFormat="1">
      <c r="A319" s="189" t="s">
        <v>1024</v>
      </c>
      <c r="B319" s="190">
        <v>0</v>
      </c>
      <c r="C319" s="190">
        <v>0</v>
      </c>
      <c r="D319" s="190">
        <v>9700</v>
      </c>
      <c r="E319" s="190">
        <v>9700</v>
      </c>
      <c r="F319" s="190">
        <v>0</v>
      </c>
      <c r="G319" s="190">
        <v>0</v>
      </c>
      <c r="I319" s="186" t="s">
        <v>1410</v>
      </c>
      <c r="J319" s="188">
        <v>15.23968</v>
      </c>
      <c r="K319" s="188">
        <v>0</v>
      </c>
      <c r="L319" s="188">
        <v>0</v>
      </c>
      <c r="M319" s="188">
        <v>15.23968</v>
      </c>
      <c r="N319" s="188">
        <v>0</v>
      </c>
      <c r="O319" s="188">
        <v>0</v>
      </c>
      <c r="P319" s="193"/>
    </row>
    <row r="320" spans="1:16" s="7" customFormat="1">
      <c r="A320" s="189" t="s">
        <v>1025</v>
      </c>
      <c r="B320" s="190">
        <v>0</v>
      </c>
      <c r="C320" s="190">
        <v>0</v>
      </c>
      <c r="D320" s="190">
        <v>459.97840000000002</v>
      </c>
      <c r="E320" s="190">
        <v>459.97840000000002</v>
      </c>
      <c r="F320" s="190">
        <v>0</v>
      </c>
      <c r="G320" s="190">
        <v>0</v>
      </c>
      <c r="I320" s="186" t="s">
        <v>1411</v>
      </c>
      <c r="J320" s="188">
        <v>0</v>
      </c>
      <c r="K320" s="188">
        <v>0</v>
      </c>
      <c r="L320" s="188">
        <v>21435.831719999998</v>
      </c>
      <c r="M320" s="188">
        <v>21435.831719999998</v>
      </c>
      <c r="N320" s="188">
        <v>0</v>
      </c>
      <c r="O320" s="188">
        <v>0</v>
      </c>
      <c r="P320" s="193"/>
    </row>
    <row r="321" spans="1:16" s="7" customFormat="1">
      <c r="A321" s="189" t="s">
        <v>1026</v>
      </c>
      <c r="B321" s="190">
        <v>0</v>
      </c>
      <c r="C321" s="190">
        <v>0</v>
      </c>
      <c r="D321" s="190">
        <v>4457.88</v>
      </c>
      <c r="E321" s="190">
        <v>4457.88</v>
      </c>
      <c r="F321" s="190">
        <v>0</v>
      </c>
      <c r="G321" s="190">
        <v>0</v>
      </c>
      <c r="I321" s="186" t="s">
        <v>1412</v>
      </c>
      <c r="J321" s="188">
        <v>0</v>
      </c>
      <c r="K321" s="188">
        <v>0</v>
      </c>
      <c r="L321" s="188">
        <v>720</v>
      </c>
      <c r="M321" s="188">
        <v>720</v>
      </c>
      <c r="N321" s="188">
        <v>0</v>
      </c>
      <c r="O321" s="188">
        <v>0</v>
      </c>
      <c r="P321" s="193"/>
    </row>
    <row r="322" spans="1:16" s="7" customFormat="1">
      <c r="A322" s="189" t="s">
        <v>707</v>
      </c>
      <c r="B322" s="190">
        <v>0</v>
      </c>
      <c r="C322" s="190">
        <v>0</v>
      </c>
      <c r="D322" s="190">
        <v>12.15</v>
      </c>
      <c r="E322" s="190">
        <v>12.15</v>
      </c>
      <c r="F322" s="190">
        <v>0</v>
      </c>
      <c r="G322" s="190">
        <v>0</v>
      </c>
      <c r="I322" s="186" t="s">
        <v>1413</v>
      </c>
      <c r="J322" s="188">
        <v>0</v>
      </c>
      <c r="K322" s="188">
        <v>0</v>
      </c>
      <c r="L322" s="188">
        <v>255.5</v>
      </c>
      <c r="M322" s="188">
        <v>255.5</v>
      </c>
      <c r="N322" s="188">
        <v>0</v>
      </c>
      <c r="O322" s="188">
        <v>0</v>
      </c>
      <c r="P322" s="193"/>
    </row>
    <row r="323" spans="1:16" s="7" customFormat="1">
      <c r="A323" s="189" t="s">
        <v>1027</v>
      </c>
      <c r="B323" s="190">
        <v>0</v>
      </c>
      <c r="C323" s="190">
        <v>0</v>
      </c>
      <c r="D323" s="190">
        <v>64.894000000000005</v>
      </c>
      <c r="E323" s="190">
        <v>64.894000000000005</v>
      </c>
      <c r="F323" s="190">
        <v>0</v>
      </c>
      <c r="G323" s="190">
        <v>0</v>
      </c>
      <c r="I323" s="186" t="s">
        <v>1414</v>
      </c>
      <c r="J323" s="188">
        <v>0</v>
      </c>
      <c r="K323" s="188">
        <v>0</v>
      </c>
      <c r="L323" s="188">
        <v>251.49</v>
      </c>
      <c r="M323" s="188">
        <v>251.49</v>
      </c>
      <c r="N323" s="188">
        <v>0</v>
      </c>
      <c r="O323" s="188">
        <v>0</v>
      </c>
      <c r="P323" s="193"/>
    </row>
    <row r="324" spans="1:16" s="7" customFormat="1">
      <c r="A324" s="189" t="s">
        <v>1028</v>
      </c>
      <c r="B324" s="190">
        <v>0</v>
      </c>
      <c r="C324" s="190">
        <v>0</v>
      </c>
      <c r="D324" s="190">
        <v>862.5</v>
      </c>
      <c r="E324" s="190">
        <v>0</v>
      </c>
      <c r="F324" s="190">
        <v>862.5</v>
      </c>
      <c r="G324" s="190">
        <v>0</v>
      </c>
      <c r="I324" s="186" t="s">
        <v>1415</v>
      </c>
      <c r="J324" s="188">
        <v>0</v>
      </c>
      <c r="K324" s="188">
        <v>0</v>
      </c>
      <c r="L324" s="188">
        <v>3770.8745400000003</v>
      </c>
      <c r="M324" s="188">
        <v>3770.8745400000003</v>
      </c>
      <c r="N324" s="188">
        <v>0</v>
      </c>
      <c r="O324" s="188">
        <v>0</v>
      </c>
      <c r="P324" s="193"/>
    </row>
    <row r="325" spans="1:16" s="7" customFormat="1">
      <c r="A325" s="189" t="s">
        <v>1029</v>
      </c>
      <c r="B325" s="190">
        <v>0</v>
      </c>
      <c r="C325" s="190">
        <v>0</v>
      </c>
      <c r="D325" s="190">
        <v>60018</v>
      </c>
      <c r="E325" s="190">
        <v>60018</v>
      </c>
      <c r="F325" s="190">
        <v>0</v>
      </c>
      <c r="G325" s="190">
        <v>0</v>
      </c>
      <c r="I325" s="186" t="s">
        <v>1416</v>
      </c>
      <c r="J325" s="188">
        <v>0</v>
      </c>
      <c r="K325" s="188">
        <v>0</v>
      </c>
      <c r="L325" s="188">
        <v>6.28</v>
      </c>
      <c r="M325" s="188">
        <v>6.28</v>
      </c>
      <c r="N325" s="188">
        <v>0</v>
      </c>
      <c r="O325" s="188">
        <v>0</v>
      </c>
      <c r="P325" s="193"/>
    </row>
    <row r="326" spans="1:16" s="7" customFormat="1">
      <c r="A326" s="189" t="s">
        <v>1030</v>
      </c>
      <c r="B326" s="190">
        <v>0</v>
      </c>
      <c r="C326" s="190">
        <v>0</v>
      </c>
      <c r="D326" s="190">
        <v>40</v>
      </c>
      <c r="E326" s="190">
        <v>40</v>
      </c>
      <c r="F326" s="190">
        <v>0</v>
      </c>
      <c r="G326" s="190">
        <v>0</v>
      </c>
      <c r="I326" s="186" t="s">
        <v>1417</v>
      </c>
      <c r="J326" s="188">
        <v>0</v>
      </c>
      <c r="K326" s="188">
        <v>0</v>
      </c>
      <c r="L326" s="188">
        <v>1492.7360000000001</v>
      </c>
      <c r="M326" s="188">
        <v>1492.7360000000001</v>
      </c>
      <c r="N326" s="188">
        <v>0</v>
      </c>
      <c r="O326" s="188">
        <v>0</v>
      </c>
      <c r="P326" s="193"/>
    </row>
    <row r="327" spans="1:16" s="7" customFormat="1">
      <c r="A327" s="189" t="s">
        <v>1031</v>
      </c>
      <c r="B327" s="190">
        <v>0</v>
      </c>
      <c r="C327" s="190">
        <v>0</v>
      </c>
      <c r="D327" s="190">
        <v>16</v>
      </c>
      <c r="E327" s="190">
        <v>16</v>
      </c>
      <c r="F327" s="190">
        <v>0</v>
      </c>
      <c r="G327" s="190">
        <v>0</v>
      </c>
      <c r="I327" s="186" t="s">
        <v>1418</v>
      </c>
      <c r="J327" s="188">
        <v>0</v>
      </c>
      <c r="K327" s="188">
        <v>0</v>
      </c>
      <c r="L327" s="188">
        <v>20700</v>
      </c>
      <c r="M327" s="188">
        <v>20700</v>
      </c>
      <c r="N327" s="188">
        <v>0</v>
      </c>
      <c r="O327" s="188">
        <v>0</v>
      </c>
      <c r="P327" s="193"/>
    </row>
    <row r="328" spans="1:16" s="7" customFormat="1">
      <c r="A328" s="189" t="s">
        <v>1032</v>
      </c>
      <c r="B328" s="190">
        <v>0</v>
      </c>
      <c r="C328" s="190">
        <v>0</v>
      </c>
      <c r="D328" s="190">
        <v>36.770000000000003</v>
      </c>
      <c r="E328" s="190">
        <v>36.770000000000003</v>
      </c>
      <c r="F328" s="190">
        <v>0</v>
      </c>
      <c r="G328" s="190">
        <v>0</v>
      </c>
      <c r="I328" s="186" t="s">
        <v>1419</v>
      </c>
      <c r="J328" s="188">
        <v>0</v>
      </c>
      <c r="K328" s="188">
        <v>0</v>
      </c>
      <c r="L328" s="188">
        <v>4.9000000000000004</v>
      </c>
      <c r="M328" s="188">
        <v>4.9000000000000004</v>
      </c>
      <c r="N328" s="188">
        <v>0</v>
      </c>
      <c r="O328" s="188">
        <v>0</v>
      </c>
      <c r="P328" s="193"/>
    </row>
    <row r="329" spans="1:16" s="7" customFormat="1">
      <c r="A329" s="189" t="s">
        <v>1033</v>
      </c>
      <c r="B329" s="190">
        <v>0</v>
      </c>
      <c r="C329" s="190">
        <v>0</v>
      </c>
      <c r="D329" s="190">
        <v>1023.365</v>
      </c>
      <c r="E329" s="190">
        <v>1023.365</v>
      </c>
      <c r="F329" s="190">
        <v>0</v>
      </c>
      <c r="G329" s="190">
        <v>0</v>
      </c>
      <c r="I329" s="186" t="s">
        <v>1420</v>
      </c>
      <c r="J329" s="188">
        <v>0</v>
      </c>
      <c r="K329" s="188">
        <v>0</v>
      </c>
      <c r="L329" s="188">
        <v>90</v>
      </c>
      <c r="M329" s="188">
        <v>72</v>
      </c>
      <c r="N329" s="188">
        <v>18</v>
      </c>
      <c r="O329" s="188">
        <v>0</v>
      </c>
      <c r="P329" s="193"/>
    </row>
    <row r="330" spans="1:16" s="7" customFormat="1">
      <c r="A330" s="189" t="s">
        <v>1034</v>
      </c>
      <c r="B330" s="190">
        <v>186.1</v>
      </c>
      <c r="C330" s="190">
        <v>0</v>
      </c>
      <c r="D330" s="190">
        <v>1792.2080000000001</v>
      </c>
      <c r="E330" s="190">
        <v>1978.308</v>
      </c>
      <c r="F330" s="190">
        <v>0</v>
      </c>
      <c r="G330" s="190">
        <v>0</v>
      </c>
      <c r="I330" s="186" t="s">
        <v>1421</v>
      </c>
      <c r="J330" s="188">
        <v>0</v>
      </c>
      <c r="K330" s="188">
        <v>0</v>
      </c>
      <c r="L330" s="188">
        <v>61276.249950000005</v>
      </c>
      <c r="M330" s="188">
        <v>61276.249950000005</v>
      </c>
      <c r="N330" s="188">
        <v>0</v>
      </c>
      <c r="O330" s="188">
        <v>0</v>
      </c>
      <c r="P330" s="193"/>
    </row>
    <row r="331" spans="1:16" s="7" customFormat="1">
      <c r="A331" s="189" t="s">
        <v>1035</v>
      </c>
      <c r="B331" s="190">
        <v>0</v>
      </c>
      <c r="C331" s="190">
        <v>0</v>
      </c>
      <c r="D331" s="190">
        <v>424.9</v>
      </c>
      <c r="E331" s="190">
        <v>424.9</v>
      </c>
      <c r="F331" s="190">
        <v>0</v>
      </c>
      <c r="G331" s="190">
        <v>0</v>
      </c>
      <c r="I331" s="186" t="s">
        <v>907</v>
      </c>
      <c r="J331" s="188">
        <v>0</v>
      </c>
      <c r="K331" s="188">
        <v>0</v>
      </c>
      <c r="L331" s="188">
        <v>1769.38</v>
      </c>
      <c r="M331" s="188">
        <v>1769.38</v>
      </c>
      <c r="N331" s="188">
        <v>0</v>
      </c>
      <c r="O331" s="188">
        <v>0</v>
      </c>
      <c r="P331" s="193"/>
    </row>
    <row r="332" spans="1:16" s="7" customFormat="1">
      <c r="A332" s="189" t="s">
        <v>1036</v>
      </c>
      <c r="B332" s="190">
        <v>0</v>
      </c>
      <c r="C332" s="190">
        <v>0</v>
      </c>
      <c r="D332" s="190">
        <v>25566.80229</v>
      </c>
      <c r="E332" s="190">
        <v>25565.607090000001</v>
      </c>
      <c r="F332" s="190">
        <v>1.1952</v>
      </c>
      <c r="G332" s="190">
        <v>0</v>
      </c>
      <c r="I332" s="186" t="s">
        <v>1422</v>
      </c>
      <c r="J332" s="188">
        <v>5320</v>
      </c>
      <c r="K332" s="188">
        <v>0</v>
      </c>
      <c r="L332" s="188">
        <v>3000</v>
      </c>
      <c r="M332" s="188">
        <v>1020</v>
      </c>
      <c r="N332" s="188">
        <v>7300</v>
      </c>
      <c r="O332" s="188">
        <v>0</v>
      </c>
      <c r="P332" s="193"/>
    </row>
    <row r="333" spans="1:16" s="7" customFormat="1">
      <c r="A333" s="189" t="s">
        <v>1037</v>
      </c>
      <c r="B333" s="190">
        <v>0</v>
      </c>
      <c r="C333" s="190">
        <v>0</v>
      </c>
      <c r="D333" s="190">
        <v>67</v>
      </c>
      <c r="E333" s="190">
        <v>67</v>
      </c>
      <c r="F333" s="190">
        <v>0</v>
      </c>
      <c r="G333" s="190">
        <v>0</v>
      </c>
      <c r="I333" s="186" t="s">
        <v>1423</v>
      </c>
      <c r="J333" s="188">
        <v>0</v>
      </c>
      <c r="K333" s="188">
        <v>0</v>
      </c>
      <c r="L333" s="188">
        <v>280</v>
      </c>
      <c r="M333" s="188">
        <v>280</v>
      </c>
      <c r="N333" s="188">
        <v>0</v>
      </c>
      <c r="O333" s="188">
        <v>0</v>
      </c>
      <c r="P333" s="193"/>
    </row>
    <row r="334" spans="1:16" s="7" customFormat="1">
      <c r="A334" s="189" t="s">
        <v>1038</v>
      </c>
      <c r="B334" s="190">
        <v>0</v>
      </c>
      <c r="C334" s="190">
        <v>0</v>
      </c>
      <c r="D334" s="190">
        <v>45.15</v>
      </c>
      <c r="E334" s="190">
        <v>45.15</v>
      </c>
      <c r="F334" s="190">
        <v>0</v>
      </c>
      <c r="G334" s="190">
        <v>0</v>
      </c>
      <c r="I334" s="186" t="s">
        <v>1424</v>
      </c>
      <c r="J334" s="188">
        <v>2027.61</v>
      </c>
      <c r="K334" s="188">
        <v>0</v>
      </c>
      <c r="L334" s="188">
        <v>0</v>
      </c>
      <c r="M334" s="188">
        <v>2027.61</v>
      </c>
      <c r="N334" s="188">
        <v>0</v>
      </c>
      <c r="O334" s="188">
        <v>0</v>
      </c>
      <c r="P334" s="193"/>
    </row>
    <row r="335" spans="1:16" s="7" customFormat="1">
      <c r="A335" s="189" t="s">
        <v>1039</v>
      </c>
      <c r="B335" s="190">
        <v>0</v>
      </c>
      <c r="C335" s="190">
        <v>0</v>
      </c>
      <c r="D335" s="190">
        <v>36543.037499999999</v>
      </c>
      <c r="E335" s="190">
        <v>0</v>
      </c>
      <c r="F335" s="190">
        <v>36543.037499999999</v>
      </c>
      <c r="G335" s="190">
        <v>0</v>
      </c>
      <c r="I335" s="186" t="s">
        <v>1425</v>
      </c>
      <c r="J335" s="188">
        <v>750.97933999999998</v>
      </c>
      <c r="K335" s="188">
        <v>0</v>
      </c>
      <c r="L335" s="188">
        <v>30.516639999999999</v>
      </c>
      <c r="M335" s="188">
        <v>30.516639999999999</v>
      </c>
      <c r="N335" s="188">
        <v>750.97933999999998</v>
      </c>
      <c r="O335" s="188">
        <v>0</v>
      </c>
      <c r="P335" s="193"/>
    </row>
    <row r="336" spans="1:16" s="7" customFormat="1">
      <c r="A336" s="189" t="s">
        <v>1040</v>
      </c>
      <c r="B336" s="190">
        <v>0</v>
      </c>
      <c r="C336" s="190">
        <v>0</v>
      </c>
      <c r="D336" s="190">
        <v>2211.1999999999998</v>
      </c>
      <c r="E336" s="190">
        <v>2211.1999999999998</v>
      </c>
      <c r="F336" s="190">
        <v>0</v>
      </c>
      <c r="G336" s="190">
        <v>0</v>
      </c>
      <c r="I336" s="186" t="s">
        <v>1426</v>
      </c>
      <c r="J336" s="188">
        <v>4.0000000000000001E-3</v>
      </c>
      <c r="K336" s="188">
        <v>0</v>
      </c>
      <c r="L336" s="188">
        <v>659.94</v>
      </c>
      <c r="M336" s="188">
        <v>659.94</v>
      </c>
      <c r="N336" s="188">
        <v>4.0000000000000001E-3</v>
      </c>
      <c r="O336" s="188">
        <v>0</v>
      </c>
      <c r="P336" s="193"/>
    </row>
    <row r="337" spans="1:16" s="7" customFormat="1">
      <c r="A337" s="189" t="s">
        <v>1041</v>
      </c>
      <c r="B337" s="190">
        <v>8.94937</v>
      </c>
      <c r="C337" s="190">
        <v>0</v>
      </c>
      <c r="D337" s="190">
        <v>9610.5576400000009</v>
      </c>
      <c r="E337" s="190">
        <v>9165.8367600000001</v>
      </c>
      <c r="F337" s="190">
        <v>453.67025000000001</v>
      </c>
      <c r="G337" s="190">
        <v>0</v>
      </c>
      <c r="I337" s="186" t="s">
        <v>1427</v>
      </c>
      <c r="J337" s="188">
        <v>0</v>
      </c>
      <c r="K337" s="188">
        <v>0</v>
      </c>
      <c r="L337" s="188">
        <v>1429.3017</v>
      </c>
      <c r="M337" s="188">
        <v>1429.3017</v>
      </c>
      <c r="N337" s="188">
        <v>0</v>
      </c>
      <c r="O337" s="188">
        <v>0</v>
      </c>
      <c r="P337" s="193"/>
    </row>
    <row r="338" spans="1:16" s="7" customFormat="1">
      <c r="A338" s="189" t="s">
        <v>1042</v>
      </c>
      <c r="B338" s="190">
        <v>0</v>
      </c>
      <c r="C338" s="190">
        <v>0</v>
      </c>
      <c r="D338" s="190">
        <v>90.8</v>
      </c>
      <c r="E338" s="190">
        <v>90.8</v>
      </c>
      <c r="F338" s="190">
        <v>0</v>
      </c>
      <c r="G338" s="190">
        <v>0</v>
      </c>
      <c r="I338" s="186" t="s">
        <v>1428</v>
      </c>
      <c r="J338" s="188">
        <v>3.60318</v>
      </c>
      <c r="K338" s="188">
        <v>0</v>
      </c>
      <c r="L338" s="188">
        <v>4794.1208899999992</v>
      </c>
      <c r="M338" s="188">
        <v>4794.2458899999992</v>
      </c>
      <c r="N338" s="188">
        <v>3.47818</v>
      </c>
      <c r="O338" s="188">
        <v>0</v>
      </c>
      <c r="P338" s="193"/>
    </row>
    <row r="339" spans="1:16" s="7" customFormat="1">
      <c r="A339" s="189" t="s">
        <v>1043</v>
      </c>
      <c r="B339" s="190">
        <v>0</v>
      </c>
      <c r="C339" s="190">
        <v>0</v>
      </c>
      <c r="D339" s="190">
        <v>150</v>
      </c>
      <c r="E339" s="190">
        <v>150</v>
      </c>
      <c r="F339" s="190">
        <v>0</v>
      </c>
      <c r="G339" s="190">
        <v>0</v>
      </c>
      <c r="I339" s="186" t="s">
        <v>1429</v>
      </c>
      <c r="J339" s="188">
        <v>928.65</v>
      </c>
      <c r="K339" s="188">
        <v>0</v>
      </c>
      <c r="L339" s="188">
        <v>10513.11059</v>
      </c>
      <c r="M339" s="188">
        <v>11441.76059</v>
      </c>
      <c r="N339" s="188">
        <v>0</v>
      </c>
      <c r="O339" s="188">
        <v>0</v>
      </c>
      <c r="P339" s="193"/>
    </row>
    <row r="340" spans="1:16" s="7" customFormat="1">
      <c r="A340" s="189" t="s">
        <v>1044</v>
      </c>
      <c r="B340" s="190">
        <v>0</v>
      </c>
      <c r="C340" s="190">
        <v>0</v>
      </c>
      <c r="D340" s="190">
        <v>10</v>
      </c>
      <c r="E340" s="190">
        <v>10</v>
      </c>
      <c r="F340" s="190">
        <v>0</v>
      </c>
      <c r="G340" s="190">
        <v>0</v>
      </c>
      <c r="I340" s="186" t="s">
        <v>1430</v>
      </c>
      <c r="J340" s="188">
        <v>0</v>
      </c>
      <c r="K340" s="188">
        <v>0</v>
      </c>
      <c r="L340" s="188">
        <v>240.5</v>
      </c>
      <c r="M340" s="188">
        <v>240.5</v>
      </c>
      <c r="N340" s="188">
        <v>0</v>
      </c>
      <c r="O340" s="188">
        <v>0</v>
      </c>
      <c r="P340" s="193"/>
    </row>
    <row r="341" spans="1:16" s="7" customFormat="1">
      <c r="A341" s="189" t="s">
        <v>1045</v>
      </c>
      <c r="B341" s="190">
        <v>0</v>
      </c>
      <c r="C341" s="190">
        <v>0</v>
      </c>
      <c r="D341" s="190">
        <v>116.32051</v>
      </c>
      <c r="E341" s="190">
        <v>38.63552</v>
      </c>
      <c r="F341" s="190">
        <v>77.684989999999999</v>
      </c>
      <c r="G341" s="190">
        <v>0</v>
      </c>
      <c r="I341" s="186" t="s">
        <v>1431</v>
      </c>
      <c r="J341" s="188">
        <v>0</v>
      </c>
      <c r="K341" s="188">
        <v>0</v>
      </c>
      <c r="L341" s="188">
        <v>18.36</v>
      </c>
      <c r="M341" s="188">
        <v>18.36</v>
      </c>
      <c r="N341" s="188">
        <v>0</v>
      </c>
      <c r="O341" s="188">
        <v>0</v>
      </c>
      <c r="P341" s="193"/>
    </row>
    <row r="342" spans="1:16" s="7" customFormat="1">
      <c r="A342" s="189" t="s">
        <v>1046</v>
      </c>
      <c r="B342" s="190">
        <v>0</v>
      </c>
      <c r="C342" s="190">
        <v>0</v>
      </c>
      <c r="D342" s="190">
        <v>476</v>
      </c>
      <c r="E342" s="190">
        <v>476</v>
      </c>
      <c r="F342" s="190">
        <v>0</v>
      </c>
      <c r="G342" s="190">
        <v>0</v>
      </c>
      <c r="I342" s="186" t="s">
        <v>1432</v>
      </c>
      <c r="J342" s="188">
        <v>8187.6297000000004</v>
      </c>
      <c r="K342" s="188">
        <v>0</v>
      </c>
      <c r="L342" s="188">
        <v>23476.653999999999</v>
      </c>
      <c r="M342" s="188">
        <v>31664.2837</v>
      </c>
      <c r="N342" s="188">
        <v>0</v>
      </c>
      <c r="O342" s="188">
        <v>0</v>
      </c>
      <c r="P342" s="193"/>
    </row>
    <row r="343" spans="1:16" s="7" customFormat="1">
      <c r="A343" s="189" t="s">
        <v>1047</v>
      </c>
      <c r="B343" s="190">
        <v>0</v>
      </c>
      <c r="C343" s="190">
        <v>0</v>
      </c>
      <c r="D343" s="190">
        <v>31.687999999999999</v>
      </c>
      <c r="E343" s="190">
        <v>31.687999999999999</v>
      </c>
      <c r="F343" s="190">
        <v>0</v>
      </c>
      <c r="G343" s="190">
        <v>0</v>
      </c>
      <c r="I343" s="186" t="s">
        <v>1433</v>
      </c>
      <c r="J343" s="188">
        <v>16.26183</v>
      </c>
      <c r="K343" s="188">
        <v>0</v>
      </c>
      <c r="L343" s="188">
        <v>0</v>
      </c>
      <c r="M343" s="188">
        <v>11.73516</v>
      </c>
      <c r="N343" s="188">
        <v>4.5266700000000002</v>
      </c>
      <c r="O343" s="188">
        <v>0</v>
      </c>
      <c r="P343" s="193"/>
    </row>
    <row r="344" spans="1:16" s="7" customFormat="1">
      <c r="A344" s="189" t="s">
        <v>1048</v>
      </c>
      <c r="B344" s="190">
        <v>0</v>
      </c>
      <c r="C344" s="190">
        <v>0</v>
      </c>
      <c r="D344" s="190">
        <v>344.47</v>
      </c>
      <c r="E344" s="190">
        <v>344.47</v>
      </c>
      <c r="F344" s="190">
        <v>0</v>
      </c>
      <c r="G344" s="190">
        <v>0</v>
      </c>
      <c r="I344" s="186" t="s">
        <v>1434</v>
      </c>
      <c r="J344" s="188">
        <v>0</v>
      </c>
      <c r="K344" s="188">
        <v>0</v>
      </c>
      <c r="L344" s="188">
        <v>126</v>
      </c>
      <c r="M344" s="188">
        <v>0</v>
      </c>
      <c r="N344" s="188">
        <v>126</v>
      </c>
      <c r="O344" s="188">
        <v>0</v>
      </c>
      <c r="P344" s="193"/>
    </row>
    <row r="345" spans="1:16" s="7" customFormat="1">
      <c r="A345" s="189" t="s">
        <v>1049</v>
      </c>
      <c r="B345" s="190">
        <v>0</v>
      </c>
      <c r="C345" s="190">
        <v>0</v>
      </c>
      <c r="D345" s="190">
        <v>17.8</v>
      </c>
      <c r="E345" s="190">
        <v>17.8</v>
      </c>
      <c r="F345" s="190">
        <v>0</v>
      </c>
      <c r="G345" s="190">
        <v>0</v>
      </c>
      <c r="I345" s="186" t="s">
        <v>1435</v>
      </c>
      <c r="J345" s="188">
        <v>0</v>
      </c>
      <c r="K345" s="188">
        <v>0</v>
      </c>
      <c r="L345" s="188">
        <v>20469.150000000001</v>
      </c>
      <c r="M345" s="188">
        <v>20469.150000000001</v>
      </c>
      <c r="N345" s="188">
        <v>0</v>
      </c>
      <c r="O345" s="188">
        <v>0</v>
      </c>
      <c r="P345" s="193"/>
    </row>
    <row r="346" spans="1:16" s="7" customFormat="1">
      <c r="A346" s="189" t="s">
        <v>1050</v>
      </c>
      <c r="B346" s="190">
        <v>0</v>
      </c>
      <c r="C346" s="190">
        <v>0</v>
      </c>
      <c r="D346" s="190">
        <v>7.7779999999999996</v>
      </c>
      <c r="E346" s="190">
        <v>7.7779999999999996</v>
      </c>
      <c r="F346" s="190">
        <v>0</v>
      </c>
      <c r="G346" s="190">
        <v>0</v>
      </c>
      <c r="I346" s="186" t="s">
        <v>1436</v>
      </c>
      <c r="J346" s="188">
        <v>44.655999999999999</v>
      </c>
      <c r="K346" s="188">
        <v>0</v>
      </c>
      <c r="L346" s="188">
        <v>49.502000000000002</v>
      </c>
      <c r="M346" s="188">
        <v>94.158000000000001</v>
      </c>
      <c r="N346" s="188">
        <v>0</v>
      </c>
      <c r="O346" s="188">
        <v>0</v>
      </c>
      <c r="P346" s="193"/>
    </row>
    <row r="347" spans="1:16" s="7" customFormat="1">
      <c r="A347" s="189" t="s">
        <v>1051</v>
      </c>
      <c r="B347" s="190">
        <v>0</v>
      </c>
      <c r="C347" s="190">
        <v>0</v>
      </c>
      <c r="D347" s="190">
        <v>8.02</v>
      </c>
      <c r="E347" s="190">
        <v>8.02</v>
      </c>
      <c r="F347" s="190">
        <v>0</v>
      </c>
      <c r="G347" s="190">
        <v>0</v>
      </c>
      <c r="I347" s="186" t="s">
        <v>1437</v>
      </c>
      <c r="J347" s="188">
        <v>15.699</v>
      </c>
      <c r="K347" s="188">
        <v>0</v>
      </c>
      <c r="L347" s="188">
        <v>16.64</v>
      </c>
      <c r="M347" s="188">
        <v>32.338999999999999</v>
      </c>
      <c r="N347" s="188">
        <v>0</v>
      </c>
      <c r="O347" s="188">
        <v>0</v>
      </c>
      <c r="P347" s="193"/>
    </row>
    <row r="348" spans="1:16" s="7" customFormat="1">
      <c r="A348" s="189" t="s">
        <v>1052</v>
      </c>
      <c r="B348" s="190">
        <v>0</v>
      </c>
      <c r="C348" s="190">
        <v>0</v>
      </c>
      <c r="D348" s="190">
        <v>233.91200000000001</v>
      </c>
      <c r="E348" s="190">
        <v>233.91200000000001</v>
      </c>
      <c r="F348" s="190">
        <v>0</v>
      </c>
      <c r="G348" s="190">
        <v>0</v>
      </c>
      <c r="I348" s="186" t="s">
        <v>1438</v>
      </c>
      <c r="J348" s="188">
        <v>0</v>
      </c>
      <c r="K348" s="188">
        <v>0</v>
      </c>
      <c r="L348" s="188">
        <v>4018.5596800000003</v>
      </c>
      <c r="M348" s="188">
        <v>4018.5596800000003</v>
      </c>
      <c r="N348" s="188">
        <v>0</v>
      </c>
      <c r="O348" s="188">
        <v>0</v>
      </c>
      <c r="P348" s="193"/>
    </row>
    <row r="349" spans="1:16" s="7" customFormat="1">
      <c r="A349" s="189" t="s">
        <v>1053</v>
      </c>
      <c r="B349" s="190">
        <v>0</v>
      </c>
      <c r="C349" s="190">
        <v>0</v>
      </c>
      <c r="D349" s="190">
        <v>32231.808000000001</v>
      </c>
      <c r="E349" s="190">
        <v>0</v>
      </c>
      <c r="F349" s="190">
        <v>32231.808000000001</v>
      </c>
      <c r="G349" s="190">
        <v>0</v>
      </c>
      <c r="I349" s="186" t="s">
        <v>1439</v>
      </c>
      <c r="J349" s="188">
        <v>0</v>
      </c>
      <c r="K349" s="188">
        <v>0</v>
      </c>
      <c r="L349" s="188">
        <v>180</v>
      </c>
      <c r="M349" s="188">
        <v>180</v>
      </c>
      <c r="N349" s="188">
        <v>0</v>
      </c>
      <c r="O349" s="188">
        <v>0</v>
      </c>
      <c r="P349" s="193"/>
    </row>
    <row r="350" spans="1:16" s="7" customFormat="1">
      <c r="A350" s="189" t="s">
        <v>1054</v>
      </c>
      <c r="B350" s="190">
        <v>0</v>
      </c>
      <c r="C350" s="190">
        <v>0</v>
      </c>
      <c r="D350" s="190">
        <v>92.66</v>
      </c>
      <c r="E350" s="190">
        <v>92.66</v>
      </c>
      <c r="F350" s="190">
        <v>0</v>
      </c>
      <c r="G350" s="190">
        <v>0</v>
      </c>
      <c r="I350" s="186" t="s">
        <v>1440</v>
      </c>
      <c r="J350" s="188">
        <v>72.576619999999991</v>
      </c>
      <c r="K350" s="188">
        <v>0</v>
      </c>
      <c r="L350" s="188">
        <v>87.372500000000002</v>
      </c>
      <c r="M350" s="188">
        <v>101.78749999999999</v>
      </c>
      <c r="N350" s="188">
        <v>58.161619999999999</v>
      </c>
      <c r="O350" s="188">
        <v>0</v>
      </c>
      <c r="P350" s="193"/>
    </row>
    <row r="351" spans="1:16" s="7" customFormat="1">
      <c r="A351" s="189" t="s">
        <v>1055</v>
      </c>
      <c r="B351" s="190">
        <v>0</v>
      </c>
      <c r="C351" s="190">
        <v>0</v>
      </c>
      <c r="D351" s="190">
        <v>9.5</v>
      </c>
      <c r="E351" s="190">
        <v>9.5</v>
      </c>
      <c r="F351" s="190">
        <v>0</v>
      </c>
      <c r="G351" s="190">
        <v>0</v>
      </c>
      <c r="I351" s="186" t="s">
        <v>911</v>
      </c>
      <c r="J351" s="188">
        <v>0</v>
      </c>
      <c r="K351" s="188">
        <v>0</v>
      </c>
      <c r="L351" s="188">
        <v>17139.080000000002</v>
      </c>
      <c r="M351" s="188">
        <v>12417</v>
      </c>
      <c r="N351" s="197">
        <v>4722.08</v>
      </c>
      <c r="O351" s="188">
        <v>0</v>
      </c>
      <c r="P351" s="193"/>
    </row>
    <row r="352" spans="1:16" s="7" customFormat="1">
      <c r="A352" s="189" t="s">
        <v>1056</v>
      </c>
      <c r="B352" s="190">
        <v>0</v>
      </c>
      <c r="C352" s="190">
        <v>0</v>
      </c>
      <c r="D352" s="190">
        <v>53.17</v>
      </c>
      <c r="E352" s="190">
        <v>53.17</v>
      </c>
      <c r="F352" s="190">
        <v>0</v>
      </c>
      <c r="G352" s="190">
        <v>0</v>
      </c>
      <c r="I352" s="186" t="s">
        <v>1441</v>
      </c>
      <c r="J352" s="188">
        <v>0</v>
      </c>
      <c r="K352" s="188">
        <v>0</v>
      </c>
      <c r="L352" s="188">
        <v>13.68</v>
      </c>
      <c r="M352" s="188">
        <v>13.68</v>
      </c>
      <c r="N352" s="188">
        <v>0</v>
      </c>
      <c r="O352" s="188">
        <v>0</v>
      </c>
      <c r="P352" s="193"/>
    </row>
    <row r="353" spans="1:16" s="7" customFormat="1">
      <c r="A353" s="189" t="s">
        <v>1057</v>
      </c>
      <c r="B353" s="190">
        <v>0</v>
      </c>
      <c r="C353" s="190">
        <v>0</v>
      </c>
      <c r="D353" s="190">
        <v>18321.32547</v>
      </c>
      <c r="E353" s="190">
        <v>18321.32547</v>
      </c>
      <c r="F353" s="190">
        <v>0</v>
      </c>
      <c r="G353" s="190">
        <v>0</v>
      </c>
      <c r="I353" s="186" t="s">
        <v>1442</v>
      </c>
      <c r="J353" s="188">
        <v>0</v>
      </c>
      <c r="K353" s="188">
        <v>0</v>
      </c>
      <c r="L353" s="188">
        <v>742.7</v>
      </c>
      <c r="M353" s="188">
        <v>742.7</v>
      </c>
      <c r="N353" s="188">
        <v>0</v>
      </c>
      <c r="O353" s="188">
        <v>0</v>
      </c>
      <c r="P353" s="193"/>
    </row>
    <row r="354" spans="1:16" s="7" customFormat="1">
      <c r="A354" s="189" t="s">
        <v>1058</v>
      </c>
      <c r="B354" s="190">
        <v>0</v>
      </c>
      <c r="C354" s="190">
        <v>0</v>
      </c>
      <c r="D354" s="190">
        <v>12742.175999999999</v>
      </c>
      <c r="E354" s="190">
        <v>12117.636</v>
      </c>
      <c r="F354" s="190">
        <v>624.54</v>
      </c>
      <c r="G354" s="190">
        <v>0</v>
      </c>
      <c r="I354" s="186" t="s">
        <v>1443</v>
      </c>
      <c r="J354" s="188">
        <v>0</v>
      </c>
      <c r="K354" s="188">
        <v>0</v>
      </c>
      <c r="L354" s="188">
        <v>225.89</v>
      </c>
      <c r="M354" s="188">
        <v>225.89</v>
      </c>
      <c r="N354" s="188">
        <v>0</v>
      </c>
      <c r="O354" s="188">
        <v>0</v>
      </c>
      <c r="P354" s="193"/>
    </row>
    <row r="355" spans="1:16" s="7" customFormat="1">
      <c r="A355" s="189" t="s">
        <v>1059</v>
      </c>
      <c r="B355" s="190">
        <v>0</v>
      </c>
      <c r="C355" s="190">
        <v>0</v>
      </c>
      <c r="D355" s="190">
        <v>299.86500000000001</v>
      </c>
      <c r="E355" s="190">
        <v>299.86500000000001</v>
      </c>
      <c r="F355" s="190">
        <v>0</v>
      </c>
      <c r="G355" s="190">
        <v>0</v>
      </c>
      <c r="I355" s="186" t="s">
        <v>1444</v>
      </c>
      <c r="J355" s="188">
        <v>764.8143</v>
      </c>
      <c r="K355" s="188">
        <v>0</v>
      </c>
      <c r="L355" s="188">
        <v>0</v>
      </c>
      <c r="M355" s="188">
        <v>0</v>
      </c>
      <c r="N355" s="188">
        <v>764.8143</v>
      </c>
      <c r="O355" s="188">
        <v>0</v>
      </c>
      <c r="P355" s="193"/>
    </row>
    <row r="356" spans="1:16" s="7" customFormat="1">
      <c r="A356" s="189" t="s">
        <v>1060</v>
      </c>
      <c r="B356" s="190">
        <v>0</v>
      </c>
      <c r="C356" s="190">
        <v>0</v>
      </c>
      <c r="D356" s="190">
        <v>40.36</v>
      </c>
      <c r="E356" s="190">
        <v>40.36</v>
      </c>
      <c r="F356" s="190">
        <v>0</v>
      </c>
      <c r="G356" s="190">
        <v>0</v>
      </c>
      <c r="I356" s="186" t="s">
        <v>1445</v>
      </c>
      <c r="J356" s="188">
        <v>0</v>
      </c>
      <c r="K356" s="188">
        <v>0</v>
      </c>
      <c r="L356" s="188">
        <v>208.613</v>
      </c>
      <c r="M356" s="188">
        <v>208.613</v>
      </c>
      <c r="N356" s="188">
        <v>0</v>
      </c>
      <c r="O356" s="188">
        <v>0</v>
      </c>
      <c r="P356" s="193"/>
    </row>
    <row r="357" spans="1:16" s="7" customFormat="1">
      <c r="A357" s="189" t="s">
        <v>1061</v>
      </c>
      <c r="B357" s="190">
        <v>2.5299999999999998</v>
      </c>
      <c r="C357" s="190">
        <v>0</v>
      </c>
      <c r="D357" s="190">
        <v>0</v>
      </c>
      <c r="E357" s="190">
        <v>2.5299999999999998</v>
      </c>
      <c r="F357" s="190">
        <v>0</v>
      </c>
      <c r="G357" s="190">
        <v>0</v>
      </c>
      <c r="I357" s="186" t="s">
        <v>1446</v>
      </c>
      <c r="J357" s="188">
        <v>0</v>
      </c>
      <c r="K357" s="188">
        <v>0</v>
      </c>
      <c r="L357" s="188">
        <v>353.9</v>
      </c>
      <c r="M357" s="188">
        <v>353.9</v>
      </c>
      <c r="N357" s="188">
        <v>0</v>
      </c>
      <c r="O357" s="188">
        <v>0</v>
      </c>
      <c r="P357" s="193"/>
    </row>
    <row r="358" spans="1:16" s="7" customFormat="1">
      <c r="A358" s="189" t="s">
        <v>1062</v>
      </c>
      <c r="B358" s="190">
        <v>0</v>
      </c>
      <c r="C358" s="190">
        <v>0</v>
      </c>
      <c r="D358" s="190">
        <v>804951.9</v>
      </c>
      <c r="E358" s="190">
        <v>628059.34014999995</v>
      </c>
      <c r="F358" s="190">
        <v>176892.55984999999</v>
      </c>
      <c r="G358" s="190">
        <v>0</v>
      </c>
      <c r="I358" s="186" t="s">
        <v>1447</v>
      </c>
      <c r="J358" s="188">
        <v>0</v>
      </c>
      <c r="K358" s="188">
        <v>0</v>
      </c>
      <c r="L358" s="188">
        <v>247.88</v>
      </c>
      <c r="M358" s="188">
        <v>247.88</v>
      </c>
      <c r="N358" s="188">
        <v>0</v>
      </c>
      <c r="O358" s="188">
        <v>0</v>
      </c>
      <c r="P358" s="193"/>
    </row>
    <row r="359" spans="1:16" s="7" customFormat="1">
      <c r="A359" s="189" t="s">
        <v>1063</v>
      </c>
      <c r="B359" s="190">
        <v>0</v>
      </c>
      <c r="C359" s="190">
        <v>0</v>
      </c>
      <c r="D359" s="190">
        <v>3637.674</v>
      </c>
      <c r="E359" s="190">
        <v>3637.674</v>
      </c>
      <c r="F359" s="190">
        <v>0</v>
      </c>
      <c r="G359" s="190">
        <v>0</v>
      </c>
      <c r="I359" s="186" t="s">
        <v>1448</v>
      </c>
      <c r="J359" s="188">
        <v>502.44238999999999</v>
      </c>
      <c r="K359" s="188">
        <v>0</v>
      </c>
      <c r="L359" s="188">
        <v>511.72171000000003</v>
      </c>
      <c r="M359" s="188">
        <v>1014.1641</v>
      </c>
      <c r="N359" s="188">
        <v>0</v>
      </c>
      <c r="O359" s="188">
        <v>0</v>
      </c>
      <c r="P359" s="193"/>
    </row>
    <row r="360" spans="1:16" s="7" customFormat="1">
      <c r="A360" s="189" t="s">
        <v>1064</v>
      </c>
      <c r="B360" s="190">
        <v>0</v>
      </c>
      <c r="C360" s="190">
        <v>0</v>
      </c>
      <c r="D360" s="190">
        <v>10.928000000000001</v>
      </c>
      <c r="E360" s="190">
        <v>10.928000000000001</v>
      </c>
      <c r="F360" s="190">
        <v>0</v>
      </c>
      <c r="G360" s="190">
        <v>0</v>
      </c>
      <c r="I360" s="186" t="s">
        <v>1449</v>
      </c>
      <c r="J360" s="188">
        <v>441.3</v>
      </c>
      <c r="K360" s="188">
        <v>0</v>
      </c>
      <c r="L360" s="188">
        <v>0</v>
      </c>
      <c r="M360" s="188">
        <v>0</v>
      </c>
      <c r="N360" s="188">
        <v>441.3</v>
      </c>
      <c r="O360" s="188">
        <v>0</v>
      </c>
      <c r="P360" s="193"/>
    </row>
    <row r="361" spans="1:16" s="7" customFormat="1">
      <c r="A361" s="189" t="s">
        <v>1065</v>
      </c>
      <c r="B361" s="190">
        <v>0</v>
      </c>
      <c r="C361" s="190">
        <v>0</v>
      </c>
      <c r="D361" s="190">
        <v>534</v>
      </c>
      <c r="E361" s="190">
        <v>534</v>
      </c>
      <c r="F361" s="190">
        <v>0</v>
      </c>
      <c r="G361" s="190">
        <v>0</v>
      </c>
      <c r="I361" s="186" t="s">
        <v>1450</v>
      </c>
      <c r="J361" s="188">
        <v>32.732999999999997</v>
      </c>
      <c r="K361" s="188">
        <v>0</v>
      </c>
      <c r="L361" s="188">
        <v>72</v>
      </c>
      <c r="M361" s="188">
        <v>72</v>
      </c>
      <c r="N361" s="188">
        <v>32.732999999999997</v>
      </c>
      <c r="O361" s="188">
        <v>0</v>
      </c>
      <c r="P361" s="193"/>
    </row>
    <row r="362" spans="1:16" s="7" customFormat="1">
      <c r="A362" s="189" t="s">
        <v>1066</v>
      </c>
      <c r="B362" s="190">
        <v>220.40700000000001</v>
      </c>
      <c r="C362" s="190">
        <v>0</v>
      </c>
      <c r="D362" s="190">
        <v>220.40700000000001</v>
      </c>
      <c r="E362" s="190">
        <v>440.81400000000002</v>
      </c>
      <c r="F362" s="190">
        <v>0</v>
      </c>
      <c r="G362" s="190">
        <v>0</v>
      </c>
      <c r="I362" s="186" t="s">
        <v>1451</v>
      </c>
      <c r="J362" s="188">
        <v>0</v>
      </c>
      <c r="K362" s="188">
        <v>0</v>
      </c>
      <c r="L362" s="188">
        <v>56670.080000000002</v>
      </c>
      <c r="M362" s="188">
        <v>56670.080000000002</v>
      </c>
      <c r="N362" s="188">
        <v>0</v>
      </c>
      <c r="O362" s="188">
        <v>0</v>
      </c>
      <c r="P362" s="193"/>
    </row>
    <row r="363" spans="1:16" s="7" customFormat="1">
      <c r="A363" s="189" t="s">
        <v>1067</v>
      </c>
      <c r="B363" s="190">
        <v>0</v>
      </c>
      <c r="C363" s="190">
        <v>0</v>
      </c>
      <c r="D363" s="190">
        <v>392</v>
      </c>
      <c r="E363" s="190">
        <v>392</v>
      </c>
      <c r="F363" s="190">
        <v>0</v>
      </c>
      <c r="G363" s="190">
        <v>0</v>
      </c>
      <c r="I363" s="186" t="s">
        <v>1452</v>
      </c>
      <c r="J363" s="188">
        <v>661.09890000000007</v>
      </c>
      <c r="K363" s="188">
        <v>0</v>
      </c>
      <c r="L363" s="188">
        <v>0</v>
      </c>
      <c r="M363" s="188">
        <v>661.09890000000007</v>
      </c>
      <c r="N363" s="188">
        <v>0</v>
      </c>
      <c r="O363" s="188">
        <v>0</v>
      </c>
      <c r="P363" s="193"/>
    </row>
    <row r="364" spans="1:16" s="7" customFormat="1">
      <c r="A364" s="189" t="s">
        <v>1068</v>
      </c>
      <c r="B364" s="190">
        <v>0</v>
      </c>
      <c r="C364" s="190">
        <v>0</v>
      </c>
      <c r="D364" s="190">
        <v>4095.6341699999998</v>
      </c>
      <c r="E364" s="190">
        <v>4095.6341699999998</v>
      </c>
      <c r="F364" s="190">
        <v>0</v>
      </c>
      <c r="G364" s="190">
        <v>0</v>
      </c>
      <c r="I364" s="186" t="s">
        <v>1453</v>
      </c>
      <c r="J364" s="188">
        <v>0</v>
      </c>
      <c r="K364" s="188">
        <v>0</v>
      </c>
      <c r="L364" s="188">
        <v>133.22023000000002</v>
      </c>
      <c r="M364" s="188">
        <v>0</v>
      </c>
      <c r="N364" s="188">
        <v>133.22023000000002</v>
      </c>
      <c r="O364" s="188">
        <v>0</v>
      </c>
      <c r="P364" s="193"/>
    </row>
    <row r="365" spans="1:16" s="7" customFormat="1">
      <c r="A365" s="189" t="s">
        <v>1069</v>
      </c>
      <c r="B365" s="190">
        <v>0</v>
      </c>
      <c r="C365" s="190">
        <v>0</v>
      </c>
      <c r="D365" s="190">
        <v>16.922900000000002</v>
      </c>
      <c r="E365" s="190">
        <v>16.922900000000002</v>
      </c>
      <c r="F365" s="190">
        <v>0</v>
      </c>
      <c r="G365" s="190">
        <v>0</v>
      </c>
      <c r="I365" s="186" t="s">
        <v>1454</v>
      </c>
      <c r="J365" s="188">
        <v>0</v>
      </c>
      <c r="K365" s="188">
        <v>0</v>
      </c>
      <c r="L365" s="188">
        <v>3247.04</v>
      </c>
      <c r="M365" s="188">
        <v>3247.04</v>
      </c>
      <c r="N365" s="188">
        <v>0</v>
      </c>
      <c r="O365" s="188">
        <v>0</v>
      </c>
      <c r="P365" s="193"/>
    </row>
    <row r="366" spans="1:16" s="7" customFormat="1">
      <c r="A366" s="189" t="s">
        <v>1070</v>
      </c>
      <c r="B366" s="190">
        <v>0</v>
      </c>
      <c r="C366" s="190">
        <v>0</v>
      </c>
      <c r="D366" s="190">
        <v>77</v>
      </c>
      <c r="E366" s="190">
        <v>77</v>
      </c>
      <c r="F366" s="190">
        <v>0</v>
      </c>
      <c r="G366" s="190">
        <v>0</v>
      </c>
      <c r="I366" s="186" t="s">
        <v>1455</v>
      </c>
      <c r="J366" s="188">
        <v>2682.00641</v>
      </c>
      <c r="K366" s="188">
        <v>0</v>
      </c>
      <c r="L366" s="188">
        <v>5193.7294000000002</v>
      </c>
      <c r="M366" s="188">
        <v>5193.7294000000002</v>
      </c>
      <c r="N366" s="188">
        <v>2682.00641</v>
      </c>
      <c r="O366" s="188">
        <v>0</v>
      </c>
      <c r="P366" s="193"/>
    </row>
    <row r="367" spans="1:16" s="7" customFormat="1">
      <c r="A367" s="189" t="s">
        <v>1071</v>
      </c>
      <c r="B367" s="190">
        <v>0</v>
      </c>
      <c r="C367" s="190">
        <v>0</v>
      </c>
      <c r="D367" s="190">
        <v>2625.19</v>
      </c>
      <c r="E367" s="190">
        <v>2449.44</v>
      </c>
      <c r="F367" s="190">
        <v>175.75</v>
      </c>
      <c r="G367" s="190">
        <v>0</v>
      </c>
      <c r="I367" s="186" t="s">
        <v>1456</v>
      </c>
      <c r="J367" s="188">
        <v>7.25</v>
      </c>
      <c r="K367" s="188">
        <v>0</v>
      </c>
      <c r="L367" s="188">
        <v>0</v>
      </c>
      <c r="M367" s="188">
        <v>0</v>
      </c>
      <c r="N367" s="188">
        <v>7.25</v>
      </c>
      <c r="O367" s="188">
        <v>0</v>
      </c>
      <c r="P367" s="193"/>
    </row>
    <row r="368" spans="1:16" s="7" customFormat="1">
      <c r="A368" s="189" t="s">
        <v>1072</v>
      </c>
      <c r="B368" s="190">
        <v>0</v>
      </c>
      <c r="C368" s="190">
        <v>0</v>
      </c>
      <c r="D368" s="190">
        <v>190</v>
      </c>
      <c r="E368" s="190">
        <v>190</v>
      </c>
      <c r="F368" s="190">
        <v>0</v>
      </c>
      <c r="G368" s="190">
        <v>0</v>
      </c>
      <c r="I368" s="186" t="s">
        <v>1457</v>
      </c>
      <c r="J368" s="188">
        <v>0</v>
      </c>
      <c r="K368" s="188">
        <v>0</v>
      </c>
      <c r="L368" s="188">
        <v>4802.9849999999997</v>
      </c>
      <c r="M368" s="188">
        <v>4802.9849999999997</v>
      </c>
      <c r="N368" s="188">
        <v>0</v>
      </c>
      <c r="O368" s="188">
        <v>0</v>
      </c>
      <c r="P368" s="193"/>
    </row>
    <row r="369" spans="1:16" s="7" customFormat="1">
      <c r="A369" s="189" t="s">
        <v>1073</v>
      </c>
      <c r="B369" s="190">
        <v>0</v>
      </c>
      <c r="C369" s="190">
        <v>0</v>
      </c>
      <c r="D369" s="190">
        <v>2480</v>
      </c>
      <c r="E369" s="190">
        <v>2480</v>
      </c>
      <c r="F369" s="190">
        <v>0</v>
      </c>
      <c r="G369" s="190">
        <v>0</v>
      </c>
      <c r="I369" s="186" t="s">
        <v>1458</v>
      </c>
      <c r="J369" s="188">
        <v>593.51419999999996</v>
      </c>
      <c r="K369" s="188">
        <v>0</v>
      </c>
      <c r="L369" s="188">
        <v>0</v>
      </c>
      <c r="M369" s="188">
        <v>0</v>
      </c>
      <c r="N369" s="188">
        <v>593.51419999999996</v>
      </c>
      <c r="O369" s="188">
        <v>0</v>
      </c>
      <c r="P369" s="193"/>
    </row>
    <row r="370" spans="1:16" s="7" customFormat="1">
      <c r="A370" s="189" t="s">
        <v>1074</v>
      </c>
      <c r="B370" s="190">
        <v>0</v>
      </c>
      <c r="C370" s="190">
        <v>0</v>
      </c>
      <c r="D370" s="190">
        <v>2869.75</v>
      </c>
      <c r="E370" s="190">
        <v>2869.75</v>
      </c>
      <c r="F370" s="190">
        <v>0</v>
      </c>
      <c r="G370" s="190">
        <v>0</v>
      </c>
      <c r="I370" s="186" t="s">
        <v>1459</v>
      </c>
      <c r="J370" s="188">
        <v>318.79199999999997</v>
      </c>
      <c r="K370" s="188">
        <v>0</v>
      </c>
      <c r="L370" s="188">
        <v>0</v>
      </c>
      <c r="M370" s="188">
        <v>318.79199999999997</v>
      </c>
      <c r="N370" s="188">
        <v>0</v>
      </c>
      <c r="O370" s="188">
        <v>0</v>
      </c>
      <c r="P370" s="193"/>
    </row>
    <row r="371" spans="1:16" s="7" customFormat="1">
      <c r="A371" s="189" t="s">
        <v>1075</v>
      </c>
      <c r="B371" s="190">
        <v>0</v>
      </c>
      <c r="C371" s="190">
        <v>0</v>
      </c>
      <c r="D371" s="190">
        <v>256.39999999999998</v>
      </c>
      <c r="E371" s="190">
        <v>256.39999999999998</v>
      </c>
      <c r="F371" s="190">
        <v>0</v>
      </c>
      <c r="G371" s="190">
        <v>0</v>
      </c>
      <c r="I371" s="186" t="s">
        <v>1460</v>
      </c>
      <c r="J371" s="188">
        <v>0</v>
      </c>
      <c r="K371" s="188">
        <v>0</v>
      </c>
      <c r="L371" s="188">
        <v>208</v>
      </c>
      <c r="M371" s="188">
        <v>208</v>
      </c>
      <c r="N371" s="188">
        <v>0</v>
      </c>
      <c r="O371" s="188">
        <v>0</v>
      </c>
      <c r="P371" s="193"/>
    </row>
    <row r="372" spans="1:16" s="7" customFormat="1">
      <c r="A372" s="189" t="s">
        <v>1076</v>
      </c>
      <c r="B372" s="190">
        <v>0</v>
      </c>
      <c r="C372" s="190">
        <v>0</v>
      </c>
      <c r="D372" s="190">
        <v>1005.5</v>
      </c>
      <c r="E372" s="190">
        <v>1005.5</v>
      </c>
      <c r="F372" s="190">
        <v>0</v>
      </c>
      <c r="G372" s="190">
        <v>0</v>
      </c>
      <c r="I372" s="186" t="s">
        <v>1461</v>
      </c>
      <c r="J372" s="188">
        <v>9600</v>
      </c>
      <c r="K372" s="188">
        <v>0</v>
      </c>
      <c r="L372" s="188">
        <v>8100</v>
      </c>
      <c r="M372" s="188">
        <v>0</v>
      </c>
      <c r="N372" s="188">
        <v>17700</v>
      </c>
      <c r="O372" s="188">
        <v>0</v>
      </c>
      <c r="P372" s="193"/>
    </row>
    <row r="373" spans="1:16" s="7" customFormat="1">
      <c r="A373" s="189" t="s">
        <v>1077</v>
      </c>
      <c r="B373" s="190">
        <v>0</v>
      </c>
      <c r="C373" s="190">
        <v>0</v>
      </c>
      <c r="D373" s="190">
        <v>335.58</v>
      </c>
      <c r="E373" s="190">
        <v>335.58</v>
      </c>
      <c r="F373" s="190">
        <v>0</v>
      </c>
      <c r="G373" s="190">
        <v>0</v>
      </c>
      <c r="I373" s="186" t="s">
        <v>1462</v>
      </c>
      <c r="J373" s="188">
        <v>1458.00425</v>
      </c>
      <c r="K373" s="188">
        <v>0</v>
      </c>
      <c r="L373" s="188">
        <v>11084.570300000001</v>
      </c>
      <c r="M373" s="188">
        <v>12542.574550000001</v>
      </c>
      <c r="N373" s="188">
        <v>0</v>
      </c>
      <c r="O373" s="188">
        <v>0</v>
      </c>
      <c r="P373" s="193"/>
    </row>
    <row r="374" spans="1:16" s="7" customFormat="1">
      <c r="A374" s="189" t="s">
        <v>1078</v>
      </c>
      <c r="B374" s="190">
        <v>0</v>
      </c>
      <c r="C374" s="190">
        <v>0</v>
      </c>
      <c r="D374" s="190">
        <v>444.4</v>
      </c>
      <c r="E374" s="190">
        <v>444.4</v>
      </c>
      <c r="F374" s="190">
        <v>0</v>
      </c>
      <c r="G374" s="190">
        <v>0</v>
      </c>
      <c r="I374" s="186" t="s">
        <v>1463</v>
      </c>
      <c r="J374" s="188">
        <v>0</v>
      </c>
      <c r="K374" s="188">
        <v>0</v>
      </c>
      <c r="L374" s="188">
        <v>392741.42381000001</v>
      </c>
      <c r="M374" s="188">
        <v>392741.42381000001</v>
      </c>
      <c r="N374" s="188">
        <v>0</v>
      </c>
      <c r="O374" s="188">
        <v>0</v>
      </c>
      <c r="P374" s="193"/>
    </row>
    <row r="375" spans="1:16" s="7" customFormat="1">
      <c r="A375" s="189" t="s">
        <v>1079</v>
      </c>
      <c r="B375" s="190">
        <v>0</v>
      </c>
      <c r="C375" s="190">
        <v>0</v>
      </c>
      <c r="D375" s="190">
        <v>182</v>
      </c>
      <c r="E375" s="190">
        <v>182</v>
      </c>
      <c r="F375" s="190">
        <v>0</v>
      </c>
      <c r="G375" s="190">
        <v>0</v>
      </c>
      <c r="I375" s="186" t="s">
        <v>1464</v>
      </c>
      <c r="J375" s="188">
        <v>0</v>
      </c>
      <c r="K375" s="188">
        <v>0</v>
      </c>
      <c r="L375" s="188">
        <v>1963.13</v>
      </c>
      <c r="M375" s="188">
        <v>1963.13</v>
      </c>
      <c r="N375" s="188">
        <v>0</v>
      </c>
      <c r="O375" s="188">
        <v>0</v>
      </c>
      <c r="P375" s="193"/>
    </row>
    <row r="376" spans="1:16" s="7" customFormat="1">
      <c r="A376" s="189" t="s">
        <v>1080</v>
      </c>
      <c r="B376" s="190">
        <v>0</v>
      </c>
      <c r="C376" s="190">
        <v>0</v>
      </c>
      <c r="D376" s="190">
        <v>50792.4</v>
      </c>
      <c r="E376" s="190">
        <v>13230</v>
      </c>
      <c r="F376" s="190">
        <v>37562.400000000001</v>
      </c>
      <c r="G376" s="190">
        <v>0</v>
      </c>
      <c r="I376" s="186" t="s">
        <v>1465</v>
      </c>
      <c r="J376" s="188">
        <v>0</v>
      </c>
      <c r="K376" s="188">
        <v>0</v>
      </c>
      <c r="L376" s="188">
        <v>959.76</v>
      </c>
      <c r="M376" s="188">
        <v>959.76</v>
      </c>
      <c r="N376" s="188">
        <v>0</v>
      </c>
      <c r="O376" s="188">
        <v>0</v>
      </c>
      <c r="P376" s="193"/>
    </row>
    <row r="377" spans="1:16" s="7" customFormat="1">
      <c r="A377" s="189" t="s">
        <v>1081</v>
      </c>
      <c r="B377" s="190">
        <v>0</v>
      </c>
      <c r="C377" s="190">
        <v>0</v>
      </c>
      <c r="D377" s="190">
        <v>3960.6</v>
      </c>
      <c r="E377" s="190">
        <v>3960.6</v>
      </c>
      <c r="F377" s="190">
        <v>0</v>
      </c>
      <c r="G377" s="190">
        <v>0</v>
      </c>
      <c r="I377" s="186" t="s">
        <v>1466</v>
      </c>
      <c r="J377" s="188">
        <v>2455.1999999999998</v>
      </c>
      <c r="K377" s="188">
        <v>0</v>
      </c>
      <c r="L377" s="188">
        <v>2455.1999999999998</v>
      </c>
      <c r="M377" s="188">
        <v>2455.1999999999998</v>
      </c>
      <c r="N377" s="188">
        <v>2455.1999999999998</v>
      </c>
      <c r="O377" s="188">
        <v>0</v>
      </c>
      <c r="P377" s="193"/>
    </row>
    <row r="378" spans="1:16" s="7" customFormat="1">
      <c r="A378" s="189" t="s">
        <v>1082</v>
      </c>
      <c r="B378" s="190">
        <v>0</v>
      </c>
      <c r="C378" s="190">
        <v>0</v>
      </c>
      <c r="D378" s="190">
        <v>585.1</v>
      </c>
      <c r="E378" s="190">
        <v>585.1</v>
      </c>
      <c r="F378" s="190">
        <v>0</v>
      </c>
      <c r="G378" s="190">
        <v>0</v>
      </c>
      <c r="I378" s="186" t="s">
        <v>1467</v>
      </c>
      <c r="J378" s="188">
        <v>0</v>
      </c>
      <c r="K378" s="188">
        <v>0</v>
      </c>
      <c r="L378" s="188">
        <v>1285.713</v>
      </c>
      <c r="M378" s="188">
        <v>1285.713</v>
      </c>
      <c r="N378" s="188">
        <v>0</v>
      </c>
      <c r="O378" s="188">
        <v>0</v>
      </c>
      <c r="P378" s="193"/>
    </row>
    <row r="379" spans="1:16" s="7" customFormat="1">
      <c r="A379" s="189" t="s">
        <v>1083</v>
      </c>
      <c r="B379" s="190">
        <v>61.83</v>
      </c>
      <c r="C379" s="190">
        <v>0</v>
      </c>
      <c r="D379" s="190">
        <v>0</v>
      </c>
      <c r="E379" s="190">
        <v>61.83</v>
      </c>
      <c r="F379" s="190">
        <v>0</v>
      </c>
      <c r="G379" s="190">
        <v>0</v>
      </c>
      <c r="I379" s="186" t="s">
        <v>1468</v>
      </c>
      <c r="J379" s="188">
        <v>0</v>
      </c>
      <c r="K379" s="188">
        <v>0</v>
      </c>
      <c r="L379" s="188">
        <v>1721.0340000000001</v>
      </c>
      <c r="M379" s="188">
        <v>1721.0340000000001</v>
      </c>
      <c r="N379" s="188">
        <v>0</v>
      </c>
      <c r="O379" s="188">
        <v>0</v>
      </c>
      <c r="P379" s="193"/>
    </row>
    <row r="380" spans="1:16" s="7" customFormat="1">
      <c r="A380" s="189" t="s">
        <v>1084</v>
      </c>
      <c r="B380" s="190">
        <v>0</v>
      </c>
      <c r="C380" s="190">
        <v>0</v>
      </c>
      <c r="D380" s="190">
        <v>2719.2959999999998</v>
      </c>
      <c r="E380" s="190">
        <v>2719.2959999999998</v>
      </c>
      <c r="F380" s="190">
        <v>0</v>
      </c>
      <c r="G380" s="190">
        <v>0</v>
      </c>
      <c r="I380" s="186" t="s">
        <v>1469</v>
      </c>
      <c r="J380" s="188">
        <v>0</v>
      </c>
      <c r="K380" s="188">
        <v>0</v>
      </c>
      <c r="L380" s="188">
        <v>141297.57751</v>
      </c>
      <c r="M380" s="188">
        <v>141297.57751</v>
      </c>
      <c r="N380" s="188">
        <v>0</v>
      </c>
      <c r="O380" s="188">
        <v>0</v>
      </c>
      <c r="P380" s="193"/>
    </row>
    <row r="381" spans="1:16" s="7" customFormat="1">
      <c r="A381" s="189" t="s">
        <v>1085</v>
      </c>
      <c r="B381" s="190">
        <v>189.72</v>
      </c>
      <c r="C381" s="190">
        <v>0</v>
      </c>
      <c r="D381" s="190">
        <v>0</v>
      </c>
      <c r="E381" s="190">
        <v>189.72</v>
      </c>
      <c r="F381" s="190">
        <v>0</v>
      </c>
      <c r="G381" s="190">
        <v>0</v>
      </c>
      <c r="I381" s="186" t="s">
        <v>1470</v>
      </c>
      <c r="J381" s="188">
        <v>0</v>
      </c>
      <c r="K381" s="188">
        <v>0</v>
      </c>
      <c r="L381" s="188">
        <v>550</v>
      </c>
      <c r="M381" s="188">
        <v>550</v>
      </c>
      <c r="N381" s="188">
        <v>0</v>
      </c>
      <c r="O381" s="188">
        <v>0</v>
      </c>
      <c r="P381" s="193"/>
    </row>
    <row r="382" spans="1:16" s="7" customFormat="1">
      <c r="A382" s="189" t="s">
        <v>1086</v>
      </c>
      <c r="B382" s="190">
        <v>0</v>
      </c>
      <c r="C382" s="190">
        <v>0</v>
      </c>
      <c r="D382" s="190">
        <v>1328.6</v>
      </c>
      <c r="E382" s="190">
        <v>1328.6</v>
      </c>
      <c r="F382" s="190">
        <v>0</v>
      </c>
      <c r="G382" s="190">
        <v>0</v>
      </c>
      <c r="I382" s="186" t="s">
        <v>1471</v>
      </c>
      <c r="J382" s="188">
        <v>811.3</v>
      </c>
      <c r="K382" s="188">
        <v>0</v>
      </c>
      <c r="L382" s="188">
        <v>1049.8</v>
      </c>
      <c r="M382" s="188">
        <v>1049.8</v>
      </c>
      <c r="N382" s="188">
        <v>811.3</v>
      </c>
      <c r="O382" s="188">
        <v>0</v>
      </c>
      <c r="P382" s="193"/>
    </row>
    <row r="383" spans="1:16" s="7" customFormat="1">
      <c r="A383" s="189" t="s">
        <v>1087</v>
      </c>
      <c r="B383" s="190">
        <v>0</v>
      </c>
      <c r="C383" s="190">
        <v>0</v>
      </c>
      <c r="D383" s="190">
        <v>7995.3190000000004</v>
      </c>
      <c r="E383" s="190">
        <v>7995.3190000000004</v>
      </c>
      <c r="F383" s="190">
        <v>0</v>
      </c>
      <c r="G383" s="190">
        <v>0</v>
      </c>
      <c r="I383" s="186" t="s">
        <v>1472</v>
      </c>
      <c r="J383" s="188">
        <v>0</v>
      </c>
      <c r="K383" s="188">
        <v>0</v>
      </c>
      <c r="L383" s="188">
        <v>27863.875</v>
      </c>
      <c r="M383" s="188">
        <v>27863.875</v>
      </c>
      <c r="N383" s="188">
        <v>0</v>
      </c>
      <c r="O383" s="188">
        <v>0</v>
      </c>
      <c r="P383" s="193"/>
    </row>
    <row r="384" spans="1:16" s="7" customFormat="1">
      <c r="A384" s="189" t="s">
        <v>1088</v>
      </c>
      <c r="B384" s="190">
        <v>0</v>
      </c>
      <c r="C384" s="190">
        <v>0</v>
      </c>
      <c r="D384" s="190">
        <v>3.2650000000000001</v>
      </c>
      <c r="E384" s="190">
        <v>3.2650000000000001</v>
      </c>
      <c r="F384" s="190">
        <v>0</v>
      </c>
      <c r="G384" s="190">
        <v>0</v>
      </c>
      <c r="I384" s="186" t="s">
        <v>1473</v>
      </c>
      <c r="J384" s="188">
        <v>0</v>
      </c>
      <c r="K384" s="188">
        <v>0</v>
      </c>
      <c r="L384" s="188">
        <v>760.05</v>
      </c>
      <c r="M384" s="188">
        <v>760.05</v>
      </c>
      <c r="N384" s="188">
        <v>0</v>
      </c>
      <c r="O384" s="188">
        <v>0</v>
      </c>
      <c r="P384" s="193"/>
    </row>
    <row r="385" spans="1:16" s="7" customFormat="1">
      <c r="A385" s="189" t="s">
        <v>1089</v>
      </c>
      <c r="B385" s="190">
        <v>0</v>
      </c>
      <c r="C385" s="190">
        <v>0</v>
      </c>
      <c r="D385" s="190">
        <v>2598.058</v>
      </c>
      <c r="E385" s="190">
        <v>2598.058</v>
      </c>
      <c r="F385" s="190">
        <v>0</v>
      </c>
      <c r="G385" s="190">
        <v>0</v>
      </c>
      <c r="I385" s="186" t="s">
        <v>1474</v>
      </c>
      <c r="J385" s="188">
        <v>37.112000000000002</v>
      </c>
      <c r="K385" s="188">
        <v>0</v>
      </c>
      <c r="L385" s="188">
        <v>2625.65</v>
      </c>
      <c r="M385" s="188">
        <v>1430.1320000000001</v>
      </c>
      <c r="N385" s="188">
        <v>1232.6300000000001</v>
      </c>
      <c r="O385" s="188">
        <v>0</v>
      </c>
      <c r="P385" s="193"/>
    </row>
    <row r="386" spans="1:16" s="7" customFormat="1">
      <c r="A386" s="189" t="s">
        <v>1090</v>
      </c>
      <c r="B386" s="190">
        <v>127.75700000000001</v>
      </c>
      <c r="C386" s="190">
        <v>0</v>
      </c>
      <c r="D386" s="190">
        <v>0</v>
      </c>
      <c r="E386" s="190">
        <v>127.75700000000001</v>
      </c>
      <c r="F386" s="190">
        <v>0</v>
      </c>
      <c r="G386" s="190">
        <v>0</v>
      </c>
      <c r="I386" s="186" t="s">
        <v>929</v>
      </c>
      <c r="J386" s="188">
        <v>0</v>
      </c>
      <c r="K386" s="188">
        <v>0</v>
      </c>
      <c r="L386" s="188">
        <v>67921.245999999999</v>
      </c>
      <c r="M386" s="188">
        <v>67921.245999999999</v>
      </c>
      <c r="N386" s="188">
        <v>0</v>
      </c>
      <c r="O386" s="188">
        <v>0</v>
      </c>
      <c r="P386" s="193"/>
    </row>
    <row r="387" spans="1:16" s="7" customFormat="1">
      <c r="A387" s="189" t="s">
        <v>1091</v>
      </c>
      <c r="B387" s="190">
        <v>0</v>
      </c>
      <c r="C387" s="190">
        <v>0</v>
      </c>
      <c r="D387" s="190">
        <v>1705.424</v>
      </c>
      <c r="E387" s="190">
        <v>1705.424</v>
      </c>
      <c r="F387" s="190">
        <v>0</v>
      </c>
      <c r="G387" s="190">
        <v>0</v>
      </c>
      <c r="I387" s="186" t="s">
        <v>1475</v>
      </c>
      <c r="J387" s="188">
        <v>0</v>
      </c>
      <c r="K387" s="188">
        <v>0</v>
      </c>
      <c r="L387" s="188">
        <v>10000</v>
      </c>
      <c r="M387" s="188">
        <v>10000</v>
      </c>
      <c r="N387" s="188">
        <v>0</v>
      </c>
      <c r="O387" s="188">
        <v>0</v>
      </c>
      <c r="P387" s="193"/>
    </row>
    <row r="388" spans="1:16" s="7" customFormat="1">
      <c r="A388" s="189" t="s">
        <v>1092</v>
      </c>
      <c r="B388" s="190">
        <v>43</v>
      </c>
      <c r="C388" s="190">
        <v>0</v>
      </c>
      <c r="D388" s="190">
        <v>35.799999999999997</v>
      </c>
      <c r="E388" s="190">
        <v>78.8</v>
      </c>
      <c r="F388" s="190">
        <v>0</v>
      </c>
      <c r="G388" s="190">
        <v>0</v>
      </c>
      <c r="I388" s="186" t="s">
        <v>703</v>
      </c>
      <c r="J388" s="188">
        <v>100000</v>
      </c>
      <c r="K388" s="188">
        <v>0</v>
      </c>
      <c r="L388" s="188">
        <v>830342.13271000003</v>
      </c>
      <c r="M388" s="188">
        <v>830342.13271000003</v>
      </c>
      <c r="N388" s="188">
        <v>100000</v>
      </c>
      <c r="O388" s="188">
        <v>0</v>
      </c>
      <c r="P388" s="193"/>
    </row>
    <row r="389" spans="1:16" s="7" customFormat="1">
      <c r="A389" s="189" t="s">
        <v>1093</v>
      </c>
      <c r="B389" s="190">
        <v>0</v>
      </c>
      <c r="C389" s="190">
        <v>0</v>
      </c>
      <c r="D389" s="190">
        <v>4444.75</v>
      </c>
      <c r="E389" s="190">
        <v>4444.75</v>
      </c>
      <c r="F389" s="190">
        <v>0</v>
      </c>
      <c r="G389" s="190">
        <v>0</v>
      </c>
      <c r="I389" s="186" t="s">
        <v>1476</v>
      </c>
      <c r="J389" s="188">
        <v>350</v>
      </c>
      <c r="K389" s="188">
        <v>0</v>
      </c>
      <c r="L389" s="188">
        <v>364.7</v>
      </c>
      <c r="M389" s="188">
        <v>350</v>
      </c>
      <c r="N389" s="188">
        <v>364.7</v>
      </c>
      <c r="O389" s="188">
        <v>0</v>
      </c>
      <c r="P389" s="193"/>
    </row>
    <row r="390" spans="1:16" s="7" customFormat="1">
      <c r="A390" s="189" t="s">
        <v>1094</v>
      </c>
      <c r="B390" s="190">
        <v>0</v>
      </c>
      <c r="C390" s="190">
        <v>0</v>
      </c>
      <c r="D390" s="190">
        <v>815.2</v>
      </c>
      <c r="E390" s="190">
        <v>815.2</v>
      </c>
      <c r="F390" s="190">
        <v>0</v>
      </c>
      <c r="G390" s="190">
        <v>0</v>
      </c>
      <c r="I390" s="186" t="s">
        <v>1477</v>
      </c>
      <c r="J390" s="188">
        <v>0</v>
      </c>
      <c r="K390" s="188">
        <v>0</v>
      </c>
      <c r="L390" s="188">
        <v>343.08</v>
      </c>
      <c r="M390" s="188">
        <v>343.08</v>
      </c>
      <c r="N390" s="188">
        <v>0</v>
      </c>
      <c r="O390" s="188">
        <v>0</v>
      </c>
      <c r="P390" s="193"/>
    </row>
    <row r="391" spans="1:16" s="7" customFormat="1">
      <c r="A391" s="189" t="s">
        <v>1095</v>
      </c>
      <c r="B391" s="190">
        <v>0</v>
      </c>
      <c r="C391" s="190">
        <v>0</v>
      </c>
      <c r="D391" s="190">
        <v>145.97999999999999</v>
      </c>
      <c r="E391" s="190">
        <v>145.97999999999999</v>
      </c>
      <c r="F391" s="190">
        <v>0</v>
      </c>
      <c r="G391" s="190">
        <v>0</v>
      </c>
      <c r="I391" s="186" t="s">
        <v>1478</v>
      </c>
      <c r="J391" s="188">
        <v>0</v>
      </c>
      <c r="K391" s="188">
        <v>0</v>
      </c>
      <c r="L391" s="188">
        <v>154.44</v>
      </c>
      <c r="M391" s="188">
        <v>154.44</v>
      </c>
      <c r="N391" s="188">
        <v>0</v>
      </c>
      <c r="O391" s="188">
        <v>0</v>
      </c>
      <c r="P391" s="193"/>
    </row>
    <row r="392" spans="1:16" s="7" customFormat="1">
      <c r="A392" s="189" t="s">
        <v>1096</v>
      </c>
      <c r="B392" s="190">
        <v>1.3</v>
      </c>
      <c r="C392" s="190">
        <v>0</v>
      </c>
      <c r="D392" s="190">
        <v>1536.33</v>
      </c>
      <c r="E392" s="190">
        <v>1521.63</v>
      </c>
      <c r="F392" s="190">
        <v>16</v>
      </c>
      <c r="G392" s="190">
        <v>0</v>
      </c>
      <c r="I392" s="186" t="s">
        <v>1479</v>
      </c>
      <c r="J392" s="188">
        <v>0</v>
      </c>
      <c r="K392" s="188">
        <v>0</v>
      </c>
      <c r="L392" s="188">
        <v>90</v>
      </c>
      <c r="M392" s="188">
        <v>90</v>
      </c>
      <c r="N392" s="188">
        <v>0</v>
      </c>
      <c r="O392" s="188">
        <v>0</v>
      </c>
      <c r="P392" s="193"/>
    </row>
    <row r="393" spans="1:16" s="7" customFormat="1">
      <c r="A393" s="189" t="s">
        <v>1097</v>
      </c>
      <c r="B393" s="190">
        <v>0</v>
      </c>
      <c r="C393" s="190">
        <v>0</v>
      </c>
      <c r="D393" s="190">
        <v>1500</v>
      </c>
      <c r="E393" s="190">
        <v>0</v>
      </c>
      <c r="F393" s="190">
        <v>1500</v>
      </c>
      <c r="G393" s="190">
        <v>0</v>
      </c>
      <c r="I393" s="186" t="s">
        <v>1480</v>
      </c>
      <c r="J393" s="188">
        <v>11345</v>
      </c>
      <c r="K393" s="188">
        <v>0</v>
      </c>
      <c r="L393" s="188">
        <v>312.64999999999998</v>
      </c>
      <c r="M393" s="188">
        <v>11640.04</v>
      </c>
      <c r="N393" s="188">
        <v>17.61</v>
      </c>
      <c r="O393" s="188">
        <v>0</v>
      </c>
      <c r="P393" s="193"/>
    </row>
    <row r="394" spans="1:16" s="7" customFormat="1">
      <c r="A394" s="189" t="s">
        <v>1098</v>
      </c>
      <c r="B394" s="190">
        <v>0</v>
      </c>
      <c r="C394" s="190">
        <v>0</v>
      </c>
      <c r="D394" s="190">
        <v>540</v>
      </c>
      <c r="E394" s="190">
        <v>540</v>
      </c>
      <c r="F394" s="190">
        <v>0</v>
      </c>
      <c r="G394" s="190">
        <v>0</v>
      </c>
      <c r="I394" s="186" t="s">
        <v>1481</v>
      </c>
      <c r="J394" s="188">
        <v>0</v>
      </c>
      <c r="K394" s="188">
        <v>0</v>
      </c>
      <c r="L394" s="188">
        <v>824</v>
      </c>
      <c r="M394" s="188">
        <v>824</v>
      </c>
      <c r="N394" s="188">
        <v>0</v>
      </c>
      <c r="O394" s="188">
        <v>0</v>
      </c>
      <c r="P394" s="193"/>
    </row>
    <row r="395" spans="1:16" s="7" customFormat="1">
      <c r="A395" s="189" t="s">
        <v>1099</v>
      </c>
      <c r="B395" s="190">
        <v>0</v>
      </c>
      <c r="C395" s="190">
        <v>0</v>
      </c>
      <c r="D395" s="190">
        <v>132</v>
      </c>
      <c r="E395" s="190">
        <v>132</v>
      </c>
      <c r="F395" s="190">
        <v>0</v>
      </c>
      <c r="G395" s="190">
        <v>0</v>
      </c>
      <c r="I395" s="186" t="s">
        <v>1482</v>
      </c>
      <c r="J395" s="188">
        <v>0</v>
      </c>
      <c r="K395" s="188">
        <v>0</v>
      </c>
      <c r="L395" s="188">
        <v>1.05</v>
      </c>
      <c r="M395" s="188">
        <v>1.05</v>
      </c>
      <c r="N395" s="188">
        <v>0</v>
      </c>
      <c r="O395" s="188">
        <v>0</v>
      </c>
      <c r="P395" s="193"/>
    </row>
    <row r="396" spans="1:16" s="7" customFormat="1">
      <c r="A396" s="189" t="s">
        <v>1100</v>
      </c>
      <c r="B396" s="190">
        <v>0</v>
      </c>
      <c r="C396" s="190">
        <v>0</v>
      </c>
      <c r="D396" s="190">
        <v>3817.65</v>
      </c>
      <c r="E396" s="190">
        <v>3817.65</v>
      </c>
      <c r="F396" s="190">
        <v>0</v>
      </c>
      <c r="G396" s="190">
        <v>0</v>
      </c>
      <c r="I396" s="186" t="s">
        <v>1483</v>
      </c>
      <c r="J396" s="188">
        <v>0</v>
      </c>
      <c r="K396" s="188">
        <v>0</v>
      </c>
      <c r="L396" s="188">
        <v>56.654000000000003</v>
      </c>
      <c r="M396" s="188">
        <v>56.654000000000003</v>
      </c>
      <c r="N396" s="188">
        <v>0</v>
      </c>
      <c r="O396" s="188">
        <v>0</v>
      </c>
      <c r="P396" s="193"/>
    </row>
    <row r="397" spans="1:16" s="7" customFormat="1">
      <c r="A397" s="189" t="s">
        <v>1101</v>
      </c>
      <c r="B397" s="190">
        <v>115.2</v>
      </c>
      <c r="C397" s="190">
        <v>0</v>
      </c>
      <c r="D397" s="190">
        <v>0</v>
      </c>
      <c r="E397" s="190">
        <v>115.2</v>
      </c>
      <c r="F397" s="190">
        <v>0</v>
      </c>
      <c r="G397" s="190">
        <v>0</v>
      </c>
      <c r="I397" s="186" t="s">
        <v>1484</v>
      </c>
      <c r="J397" s="188">
        <v>0</v>
      </c>
      <c r="K397" s="188">
        <v>0</v>
      </c>
      <c r="L397" s="188">
        <v>1050</v>
      </c>
      <c r="M397" s="188">
        <v>1050</v>
      </c>
      <c r="N397" s="188">
        <v>0</v>
      </c>
      <c r="O397" s="188">
        <v>0</v>
      </c>
      <c r="P397" s="193"/>
    </row>
    <row r="398" spans="1:16" s="7" customFormat="1">
      <c r="A398" s="189" t="s">
        <v>1102</v>
      </c>
      <c r="B398" s="190">
        <v>0</v>
      </c>
      <c r="C398" s="190">
        <v>0</v>
      </c>
      <c r="D398" s="190">
        <v>10.6</v>
      </c>
      <c r="E398" s="190">
        <v>10.6</v>
      </c>
      <c r="F398" s="190">
        <v>0</v>
      </c>
      <c r="G398" s="190">
        <v>0</v>
      </c>
      <c r="I398" s="186" t="s">
        <v>1485</v>
      </c>
      <c r="J398" s="188">
        <v>0</v>
      </c>
      <c r="K398" s="188">
        <v>0</v>
      </c>
      <c r="L398" s="188">
        <v>375</v>
      </c>
      <c r="M398" s="188">
        <v>375</v>
      </c>
      <c r="N398" s="188">
        <v>0</v>
      </c>
      <c r="O398" s="188">
        <v>0</v>
      </c>
      <c r="P398" s="193"/>
    </row>
    <row r="399" spans="1:16" s="7" customFormat="1">
      <c r="A399" s="189" t="s">
        <v>1103</v>
      </c>
      <c r="B399" s="190">
        <v>0</v>
      </c>
      <c r="C399" s="190">
        <v>0</v>
      </c>
      <c r="D399" s="190">
        <v>9.4024699999999992</v>
      </c>
      <c r="E399" s="190">
        <v>7.4047399999999994</v>
      </c>
      <c r="F399" s="190">
        <v>1.99773</v>
      </c>
      <c r="G399" s="190">
        <v>0</v>
      </c>
      <c r="I399" s="186" t="s">
        <v>1486</v>
      </c>
      <c r="J399" s="188">
        <v>0</v>
      </c>
      <c r="K399" s="188">
        <v>0</v>
      </c>
      <c r="L399" s="188">
        <v>991.32399999999996</v>
      </c>
      <c r="M399" s="188">
        <v>991.32399999999996</v>
      </c>
      <c r="N399" s="188">
        <v>0</v>
      </c>
      <c r="O399" s="188">
        <v>0</v>
      </c>
      <c r="P399" s="193"/>
    </row>
    <row r="400" spans="1:16" s="7" customFormat="1">
      <c r="A400" s="189" t="s">
        <v>1104</v>
      </c>
      <c r="B400" s="190">
        <v>0</v>
      </c>
      <c r="C400" s="190">
        <v>0</v>
      </c>
      <c r="D400" s="190">
        <v>6165.1583000000001</v>
      </c>
      <c r="E400" s="190">
        <v>2361.0749000000001</v>
      </c>
      <c r="F400" s="190">
        <v>3804.0834</v>
      </c>
      <c r="G400" s="190">
        <v>0</v>
      </c>
      <c r="I400" s="186" t="s">
        <v>1487</v>
      </c>
      <c r="J400" s="188">
        <v>0</v>
      </c>
      <c r="K400" s="188">
        <v>0</v>
      </c>
      <c r="L400" s="188">
        <v>3356.6125999999999</v>
      </c>
      <c r="M400" s="188">
        <v>3356.6125999999999</v>
      </c>
      <c r="N400" s="188">
        <v>0</v>
      </c>
      <c r="O400" s="188">
        <v>0</v>
      </c>
      <c r="P400" s="193"/>
    </row>
    <row r="401" spans="1:16" s="7" customFormat="1">
      <c r="A401" s="189" t="s">
        <v>1105</v>
      </c>
      <c r="B401" s="190">
        <v>0</v>
      </c>
      <c r="C401" s="190">
        <v>0</v>
      </c>
      <c r="D401" s="190">
        <v>65</v>
      </c>
      <c r="E401" s="190">
        <v>65</v>
      </c>
      <c r="F401" s="190">
        <v>0</v>
      </c>
      <c r="G401" s="190">
        <v>0</v>
      </c>
      <c r="I401" s="186" t="s">
        <v>1488</v>
      </c>
      <c r="J401" s="188">
        <v>0</v>
      </c>
      <c r="K401" s="188">
        <v>0</v>
      </c>
      <c r="L401" s="188">
        <v>2.8587600000000002</v>
      </c>
      <c r="M401" s="188">
        <v>2.8587600000000002</v>
      </c>
      <c r="N401" s="188">
        <v>0</v>
      </c>
      <c r="O401" s="188">
        <v>0</v>
      </c>
      <c r="P401" s="193"/>
    </row>
    <row r="402" spans="1:16" s="7" customFormat="1">
      <c r="A402" s="189" t="s">
        <v>1106</v>
      </c>
      <c r="B402" s="190">
        <v>0</v>
      </c>
      <c r="C402" s="190">
        <v>0</v>
      </c>
      <c r="D402" s="190">
        <v>625688.91399999999</v>
      </c>
      <c r="E402" s="190">
        <v>459784.734</v>
      </c>
      <c r="F402" s="190">
        <v>165904.18</v>
      </c>
      <c r="G402" s="190">
        <v>0</v>
      </c>
      <c r="I402" s="186" t="s">
        <v>1489</v>
      </c>
      <c r="J402" s="188">
        <v>0</v>
      </c>
      <c r="K402" s="188">
        <v>0</v>
      </c>
      <c r="L402" s="188">
        <v>526.4</v>
      </c>
      <c r="M402" s="188">
        <v>526.4</v>
      </c>
      <c r="N402" s="188">
        <v>0</v>
      </c>
      <c r="O402" s="188">
        <v>0</v>
      </c>
      <c r="P402" s="193"/>
    </row>
    <row r="403" spans="1:16" s="7" customFormat="1">
      <c r="A403" s="189" t="s">
        <v>1107</v>
      </c>
      <c r="B403" s="190">
        <v>0</v>
      </c>
      <c r="C403" s="190">
        <v>0</v>
      </c>
      <c r="D403" s="190">
        <v>60095.231</v>
      </c>
      <c r="E403" s="190">
        <v>41973.813999999998</v>
      </c>
      <c r="F403" s="190">
        <v>18121.417000000001</v>
      </c>
      <c r="G403" s="190">
        <v>0</v>
      </c>
      <c r="I403" s="186" t="s">
        <v>1490</v>
      </c>
      <c r="J403" s="188">
        <v>0</v>
      </c>
      <c r="K403" s="188">
        <v>0</v>
      </c>
      <c r="L403" s="188">
        <v>4202.63</v>
      </c>
      <c r="M403" s="188">
        <v>4202.63</v>
      </c>
      <c r="N403" s="188">
        <v>0</v>
      </c>
      <c r="O403" s="188">
        <v>0</v>
      </c>
      <c r="P403" s="193"/>
    </row>
    <row r="404" spans="1:16" s="7" customFormat="1">
      <c r="A404" s="189" t="s">
        <v>1108</v>
      </c>
      <c r="B404" s="190">
        <v>997.57289000000003</v>
      </c>
      <c r="C404" s="190">
        <v>0</v>
      </c>
      <c r="D404" s="190">
        <v>6395.4910599999994</v>
      </c>
      <c r="E404" s="190">
        <v>7393.0639499999997</v>
      </c>
      <c r="F404" s="190">
        <v>0</v>
      </c>
      <c r="G404" s="190">
        <v>0</v>
      </c>
      <c r="I404" s="186" t="s">
        <v>1491</v>
      </c>
      <c r="J404" s="188">
        <v>33.770000000000003</v>
      </c>
      <c r="K404" s="188">
        <v>0</v>
      </c>
      <c r="L404" s="188">
        <v>628</v>
      </c>
      <c r="M404" s="188">
        <v>627.95000000000005</v>
      </c>
      <c r="N404" s="188">
        <v>33.82</v>
      </c>
      <c r="O404" s="188">
        <v>0</v>
      </c>
      <c r="P404" s="193"/>
    </row>
    <row r="405" spans="1:16" s="7" customFormat="1">
      <c r="A405" s="189" t="s">
        <v>1109</v>
      </c>
      <c r="B405" s="190">
        <v>0</v>
      </c>
      <c r="C405" s="190">
        <v>0</v>
      </c>
      <c r="D405" s="190">
        <v>721.86900000000003</v>
      </c>
      <c r="E405" s="190">
        <v>721.86900000000003</v>
      </c>
      <c r="F405" s="190">
        <v>0</v>
      </c>
      <c r="G405" s="190">
        <v>0</v>
      </c>
      <c r="I405" s="186" t="s">
        <v>1492</v>
      </c>
      <c r="J405" s="188">
        <v>0</v>
      </c>
      <c r="K405" s="188">
        <v>0</v>
      </c>
      <c r="L405" s="188">
        <v>50.286000000000001</v>
      </c>
      <c r="M405" s="188">
        <v>50.286000000000001</v>
      </c>
      <c r="N405" s="188">
        <v>0</v>
      </c>
      <c r="O405" s="188">
        <v>0</v>
      </c>
      <c r="P405" s="193"/>
    </row>
    <row r="406" spans="1:16" s="7" customFormat="1">
      <c r="A406" s="189" t="s">
        <v>1110</v>
      </c>
      <c r="B406" s="190">
        <v>78</v>
      </c>
      <c r="C406" s="190">
        <v>0</v>
      </c>
      <c r="D406" s="190">
        <v>0</v>
      </c>
      <c r="E406" s="190">
        <v>0</v>
      </c>
      <c r="F406" s="190">
        <v>78</v>
      </c>
      <c r="G406" s="190">
        <v>0</v>
      </c>
      <c r="I406" s="186" t="s">
        <v>1493</v>
      </c>
      <c r="J406" s="188">
        <v>20.701330000000002</v>
      </c>
      <c r="K406" s="188">
        <v>0</v>
      </c>
      <c r="L406" s="188">
        <v>10582.02159</v>
      </c>
      <c r="M406" s="188">
        <v>10582.02159</v>
      </c>
      <c r="N406" s="188">
        <v>20.701330000000002</v>
      </c>
      <c r="O406" s="188">
        <v>0</v>
      </c>
      <c r="P406" s="193"/>
    </row>
    <row r="407" spans="1:16" s="7" customFormat="1">
      <c r="A407" s="189" t="s">
        <v>1111</v>
      </c>
      <c r="B407" s="190">
        <v>0</v>
      </c>
      <c r="C407" s="190">
        <v>0</v>
      </c>
      <c r="D407" s="190">
        <v>39.65</v>
      </c>
      <c r="E407" s="190">
        <v>39.65</v>
      </c>
      <c r="F407" s="190">
        <v>0</v>
      </c>
      <c r="G407" s="190">
        <v>0</v>
      </c>
      <c r="I407" s="186" t="s">
        <v>1494</v>
      </c>
      <c r="J407" s="188">
        <v>444.17200000000003</v>
      </c>
      <c r="K407" s="188">
        <v>0</v>
      </c>
      <c r="L407" s="188">
        <v>300.935</v>
      </c>
      <c r="M407" s="188">
        <v>601.87</v>
      </c>
      <c r="N407" s="188">
        <v>143.23699999999999</v>
      </c>
      <c r="O407" s="188">
        <v>0</v>
      </c>
      <c r="P407" s="193"/>
    </row>
    <row r="408" spans="1:16" s="7" customFormat="1">
      <c r="A408" s="189" t="s">
        <v>1112</v>
      </c>
      <c r="B408" s="190">
        <v>0</v>
      </c>
      <c r="C408" s="190">
        <v>0</v>
      </c>
      <c r="D408" s="190">
        <v>150</v>
      </c>
      <c r="E408" s="190">
        <v>150</v>
      </c>
      <c r="F408" s="190">
        <v>0</v>
      </c>
      <c r="G408" s="190">
        <v>0</v>
      </c>
      <c r="I408" s="186" t="s">
        <v>1495</v>
      </c>
      <c r="J408" s="188">
        <v>0</v>
      </c>
      <c r="K408" s="188">
        <v>0</v>
      </c>
      <c r="L408" s="188">
        <v>792.5</v>
      </c>
      <c r="M408" s="188">
        <v>792.5</v>
      </c>
      <c r="N408" s="188">
        <v>0</v>
      </c>
      <c r="O408" s="188">
        <v>0</v>
      </c>
      <c r="P408" s="193"/>
    </row>
    <row r="409" spans="1:16" s="7" customFormat="1">
      <c r="A409" s="189" t="s">
        <v>1113</v>
      </c>
      <c r="B409" s="190">
        <v>0</v>
      </c>
      <c r="C409" s="190">
        <v>0</v>
      </c>
      <c r="D409" s="190">
        <v>520</v>
      </c>
      <c r="E409" s="190">
        <v>364</v>
      </c>
      <c r="F409" s="190">
        <v>156</v>
      </c>
      <c r="G409" s="190">
        <v>0</v>
      </c>
      <c r="I409" s="186" t="s">
        <v>1496</v>
      </c>
      <c r="J409" s="188">
        <v>160</v>
      </c>
      <c r="K409" s="188">
        <v>0</v>
      </c>
      <c r="L409" s="188">
        <v>824.5</v>
      </c>
      <c r="M409" s="188">
        <v>500</v>
      </c>
      <c r="N409" s="188">
        <v>484.5</v>
      </c>
      <c r="O409" s="188">
        <v>0</v>
      </c>
      <c r="P409" s="193"/>
    </row>
    <row r="410" spans="1:16" s="7" customFormat="1">
      <c r="A410" s="189" t="s">
        <v>1114</v>
      </c>
      <c r="B410" s="190">
        <v>0</v>
      </c>
      <c r="C410" s="190">
        <v>0</v>
      </c>
      <c r="D410" s="190">
        <v>3425.47496</v>
      </c>
      <c r="E410" s="190">
        <v>2147.1629600000001</v>
      </c>
      <c r="F410" s="190">
        <v>1278.3119999999999</v>
      </c>
      <c r="G410" s="190">
        <v>0</v>
      </c>
      <c r="I410" s="186" t="s">
        <v>1497</v>
      </c>
      <c r="J410" s="188">
        <v>84.700039999999987</v>
      </c>
      <c r="K410" s="188">
        <v>0</v>
      </c>
      <c r="L410" s="188">
        <v>0</v>
      </c>
      <c r="M410" s="188">
        <v>84.700020000000009</v>
      </c>
      <c r="N410" s="188">
        <v>2.0000000000000002E-5</v>
      </c>
      <c r="O410" s="188">
        <v>0</v>
      </c>
      <c r="P410" s="193"/>
    </row>
    <row r="411" spans="1:16" s="7" customFormat="1">
      <c r="A411" s="189" t="s">
        <v>1115</v>
      </c>
      <c r="B411" s="190">
        <v>0</v>
      </c>
      <c r="C411" s="190">
        <v>0</v>
      </c>
      <c r="D411" s="190">
        <v>560</v>
      </c>
      <c r="E411" s="190">
        <v>560</v>
      </c>
      <c r="F411" s="190">
        <v>0</v>
      </c>
      <c r="G411" s="190">
        <v>0</v>
      </c>
      <c r="I411" s="186" t="s">
        <v>1498</v>
      </c>
      <c r="J411" s="188">
        <v>589.80600000000004</v>
      </c>
      <c r="K411" s="188">
        <v>0</v>
      </c>
      <c r="L411" s="188">
        <v>22098.986940000003</v>
      </c>
      <c r="M411" s="188">
        <v>22688.792940000003</v>
      </c>
      <c r="N411" s="188">
        <v>0</v>
      </c>
      <c r="O411" s="188">
        <v>0</v>
      </c>
      <c r="P411" s="193"/>
    </row>
    <row r="412" spans="1:16" s="7" customFormat="1">
      <c r="A412" s="189" t="s">
        <v>1116</v>
      </c>
      <c r="B412" s="190">
        <v>0</v>
      </c>
      <c r="C412" s="190">
        <v>0</v>
      </c>
      <c r="D412" s="190">
        <v>232.1</v>
      </c>
      <c r="E412" s="190">
        <v>232.1</v>
      </c>
      <c r="F412" s="190">
        <v>0</v>
      </c>
      <c r="G412" s="190">
        <v>0</v>
      </c>
      <c r="I412" s="186" t="s">
        <v>1499</v>
      </c>
      <c r="J412" s="188">
        <v>260.92</v>
      </c>
      <c r="K412" s="188">
        <v>0</v>
      </c>
      <c r="L412" s="188">
        <v>731.5</v>
      </c>
      <c r="M412" s="188">
        <v>731.5</v>
      </c>
      <c r="N412" s="188">
        <v>260.92</v>
      </c>
      <c r="O412" s="188">
        <v>0</v>
      </c>
      <c r="P412" s="193"/>
    </row>
    <row r="413" spans="1:16" s="7" customFormat="1">
      <c r="A413" s="189" t="s">
        <v>1117</v>
      </c>
      <c r="B413" s="190">
        <v>0</v>
      </c>
      <c r="C413" s="190">
        <v>0</v>
      </c>
      <c r="D413" s="190">
        <v>5306.5</v>
      </c>
      <c r="E413" s="190">
        <v>4104.2700000000004</v>
      </c>
      <c r="F413" s="190">
        <v>1202.23</v>
      </c>
      <c r="G413" s="190">
        <v>0</v>
      </c>
      <c r="I413" s="186" t="s">
        <v>1500</v>
      </c>
      <c r="J413" s="188">
        <v>0</v>
      </c>
      <c r="K413" s="188">
        <v>0</v>
      </c>
      <c r="L413" s="188">
        <v>16759.871999999999</v>
      </c>
      <c r="M413" s="188">
        <v>16759.871999999999</v>
      </c>
      <c r="N413" s="188">
        <v>0</v>
      </c>
      <c r="O413" s="188">
        <v>0</v>
      </c>
      <c r="P413" s="193"/>
    </row>
    <row r="414" spans="1:16" s="7" customFormat="1">
      <c r="A414" s="189" t="s">
        <v>1118</v>
      </c>
      <c r="B414" s="190">
        <v>0</v>
      </c>
      <c r="C414" s="190">
        <v>0</v>
      </c>
      <c r="D414" s="190">
        <v>4.2</v>
      </c>
      <c r="E414" s="190">
        <v>4.2</v>
      </c>
      <c r="F414" s="190">
        <v>0</v>
      </c>
      <c r="G414" s="190">
        <v>0</v>
      </c>
      <c r="I414" s="186" t="s">
        <v>1501</v>
      </c>
      <c r="J414" s="188">
        <v>0</v>
      </c>
      <c r="K414" s="188">
        <v>0</v>
      </c>
      <c r="L414" s="188">
        <v>129355.38104000001</v>
      </c>
      <c r="M414" s="188">
        <v>129355.38104000001</v>
      </c>
      <c r="N414" s="188">
        <v>0</v>
      </c>
      <c r="O414" s="188">
        <v>0</v>
      </c>
      <c r="P414" s="193"/>
    </row>
    <row r="415" spans="1:16" s="7" customFormat="1">
      <c r="A415" s="189" t="s">
        <v>1119</v>
      </c>
      <c r="B415" s="190">
        <v>0</v>
      </c>
      <c r="C415" s="190">
        <v>0</v>
      </c>
      <c r="D415" s="190">
        <v>84.35</v>
      </c>
      <c r="E415" s="190">
        <v>84.35</v>
      </c>
      <c r="F415" s="190">
        <v>0</v>
      </c>
      <c r="G415" s="190">
        <v>0</v>
      </c>
      <c r="I415" s="186" t="s">
        <v>1502</v>
      </c>
      <c r="J415" s="188">
        <v>0</v>
      </c>
      <c r="K415" s="188">
        <v>0</v>
      </c>
      <c r="L415" s="188">
        <v>311.94</v>
      </c>
      <c r="M415" s="188">
        <v>0</v>
      </c>
      <c r="N415" s="188">
        <v>311.94</v>
      </c>
      <c r="O415" s="188">
        <v>0</v>
      </c>
      <c r="P415" s="193"/>
    </row>
    <row r="416" spans="1:16" s="7" customFormat="1">
      <c r="A416" s="189" t="s">
        <v>1120</v>
      </c>
      <c r="B416" s="190">
        <v>0</v>
      </c>
      <c r="C416" s="190">
        <v>0</v>
      </c>
      <c r="D416" s="190">
        <v>180</v>
      </c>
      <c r="E416" s="190">
        <v>180</v>
      </c>
      <c r="F416" s="190">
        <v>0</v>
      </c>
      <c r="G416" s="190">
        <v>0</v>
      </c>
      <c r="I416" s="186" t="s">
        <v>1503</v>
      </c>
      <c r="J416" s="188">
        <v>0</v>
      </c>
      <c r="K416" s="188">
        <v>0</v>
      </c>
      <c r="L416" s="188">
        <v>356.96499999999997</v>
      </c>
      <c r="M416" s="188">
        <v>356.96499999999997</v>
      </c>
      <c r="N416" s="188">
        <v>0</v>
      </c>
      <c r="O416" s="188">
        <v>0</v>
      </c>
      <c r="P416" s="193"/>
    </row>
    <row r="417" spans="1:16" s="7" customFormat="1">
      <c r="A417" s="189" t="s">
        <v>1121</v>
      </c>
      <c r="B417" s="190">
        <v>0</v>
      </c>
      <c r="C417" s="190">
        <v>0</v>
      </c>
      <c r="D417" s="190">
        <v>89</v>
      </c>
      <c r="E417" s="190">
        <v>89</v>
      </c>
      <c r="F417" s="190">
        <v>0</v>
      </c>
      <c r="G417" s="190">
        <v>0</v>
      </c>
      <c r="I417" s="186" t="s">
        <v>1504</v>
      </c>
      <c r="J417" s="188">
        <v>1035.8499999999999</v>
      </c>
      <c r="K417" s="188">
        <v>0</v>
      </c>
      <c r="L417" s="188">
        <v>4530.43</v>
      </c>
      <c r="M417" s="188">
        <v>1747.7</v>
      </c>
      <c r="N417" s="188">
        <v>3818.58</v>
      </c>
      <c r="O417" s="188">
        <v>0</v>
      </c>
      <c r="P417" s="193"/>
    </row>
    <row r="418" spans="1:16" s="7" customFormat="1">
      <c r="A418" s="189" t="s">
        <v>1122</v>
      </c>
      <c r="B418" s="190">
        <v>0</v>
      </c>
      <c r="C418" s="190">
        <v>0</v>
      </c>
      <c r="D418" s="190">
        <v>200</v>
      </c>
      <c r="E418" s="190">
        <v>200</v>
      </c>
      <c r="F418" s="190">
        <v>0</v>
      </c>
      <c r="G418" s="190">
        <v>0</v>
      </c>
      <c r="I418" s="186" t="s">
        <v>1505</v>
      </c>
      <c r="J418" s="188">
        <v>0</v>
      </c>
      <c r="K418" s="188">
        <v>0</v>
      </c>
      <c r="L418" s="188">
        <v>56</v>
      </c>
      <c r="M418" s="188">
        <v>56</v>
      </c>
      <c r="N418" s="188">
        <v>0</v>
      </c>
      <c r="O418" s="188">
        <v>0</v>
      </c>
      <c r="P418" s="193"/>
    </row>
    <row r="419" spans="1:16" s="7" customFormat="1">
      <c r="A419" s="189" t="s">
        <v>1123</v>
      </c>
      <c r="B419" s="190">
        <v>0</v>
      </c>
      <c r="C419" s="190">
        <v>0</v>
      </c>
      <c r="D419" s="190">
        <v>9497.4950000000008</v>
      </c>
      <c r="E419" s="190">
        <v>9497.4950000000008</v>
      </c>
      <c r="F419" s="190">
        <v>0</v>
      </c>
      <c r="G419" s="190">
        <v>0</v>
      </c>
      <c r="I419" s="186" t="s">
        <v>1506</v>
      </c>
      <c r="J419" s="188">
        <v>1900</v>
      </c>
      <c r="K419" s="188">
        <v>0</v>
      </c>
      <c r="L419" s="188">
        <v>0</v>
      </c>
      <c r="M419" s="188">
        <v>0</v>
      </c>
      <c r="N419" s="188">
        <v>1900</v>
      </c>
      <c r="O419" s="188">
        <v>0</v>
      </c>
      <c r="P419" s="193"/>
    </row>
    <row r="420" spans="1:16" s="7" customFormat="1">
      <c r="A420" s="189" t="s">
        <v>1124</v>
      </c>
      <c r="B420" s="190">
        <v>0</v>
      </c>
      <c r="C420" s="190">
        <v>0</v>
      </c>
      <c r="D420" s="190">
        <v>642.64</v>
      </c>
      <c r="E420" s="190">
        <v>642.64</v>
      </c>
      <c r="F420" s="190">
        <v>0</v>
      </c>
      <c r="G420" s="190">
        <v>0</v>
      </c>
      <c r="I420" s="186" t="s">
        <v>1507</v>
      </c>
      <c r="J420" s="188">
        <v>0</v>
      </c>
      <c r="K420" s="188">
        <v>0</v>
      </c>
      <c r="L420" s="188">
        <v>1950</v>
      </c>
      <c r="M420" s="188">
        <v>1950</v>
      </c>
      <c r="N420" s="188">
        <v>0</v>
      </c>
      <c r="O420" s="188">
        <v>0</v>
      </c>
      <c r="P420" s="193"/>
    </row>
    <row r="421" spans="1:16">
      <c r="I421" s="186" t="s">
        <v>1508</v>
      </c>
      <c r="J421" s="188">
        <v>0</v>
      </c>
      <c r="K421" s="188">
        <v>0</v>
      </c>
      <c r="L421" s="188">
        <v>31877.62297</v>
      </c>
      <c r="M421" s="188">
        <v>31877.62297</v>
      </c>
      <c r="N421" s="188">
        <v>0</v>
      </c>
      <c r="O421" s="188">
        <v>0</v>
      </c>
      <c r="P421" s="193"/>
    </row>
    <row r="422" spans="1:16">
      <c r="I422" s="186" t="s">
        <v>1509</v>
      </c>
      <c r="J422" s="188">
        <v>0</v>
      </c>
      <c r="K422" s="188">
        <v>0</v>
      </c>
      <c r="L422" s="188">
        <v>1113.25</v>
      </c>
      <c r="M422" s="188">
        <v>787.65</v>
      </c>
      <c r="N422" s="188">
        <v>325.60000000000002</v>
      </c>
      <c r="O422" s="188">
        <v>0</v>
      </c>
      <c r="P422" s="193"/>
    </row>
    <row r="423" spans="1:16">
      <c r="I423" s="186" t="s">
        <v>1510</v>
      </c>
      <c r="J423" s="188">
        <v>2665.172</v>
      </c>
      <c r="K423" s="188">
        <v>0</v>
      </c>
      <c r="L423" s="188">
        <v>2665.172</v>
      </c>
      <c r="M423" s="188">
        <v>5330.3440000000001</v>
      </c>
      <c r="N423" s="188">
        <v>0</v>
      </c>
      <c r="O423" s="188">
        <v>0</v>
      </c>
      <c r="P423" s="193"/>
    </row>
    <row r="424" spans="1:16">
      <c r="I424" s="186" t="s">
        <v>1511</v>
      </c>
      <c r="J424" s="188">
        <v>0</v>
      </c>
      <c r="K424" s="188">
        <v>0</v>
      </c>
      <c r="L424" s="188">
        <v>2660.8069999999998</v>
      </c>
      <c r="M424" s="188">
        <v>2660.8069999999998</v>
      </c>
      <c r="N424" s="188">
        <v>0</v>
      </c>
      <c r="O424" s="188">
        <v>0</v>
      </c>
      <c r="P424" s="193"/>
    </row>
    <row r="425" spans="1:16">
      <c r="I425" s="186" t="s">
        <v>1512</v>
      </c>
      <c r="J425" s="188">
        <v>0</v>
      </c>
      <c r="K425" s="188">
        <v>0</v>
      </c>
      <c r="L425" s="188">
        <v>325</v>
      </c>
      <c r="M425" s="188">
        <v>0</v>
      </c>
      <c r="N425" s="188">
        <v>325</v>
      </c>
      <c r="O425" s="188">
        <v>0</v>
      </c>
      <c r="P425" s="193"/>
    </row>
    <row r="426" spans="1:16">
      <c r="I426" s="186" t="s">
        <v>1513</v>
      </c>
      <c r="J426" s="188">
        <v>0</v>
      </c>
      <c r="K426" s="188">
        <v>0</v>
      </c>
      <c r="L426" s="188">
        <v>5975.848</v>
      </c>
      <c r="M426" s="188">
        <v>5975.848</v>
      </c>
      <c r="N426" s="188">
        <v>0</v>
      </c>
      <c r="O426" s="188">
        <v>0</v>
      </c>
      <c r="P426" s="193"/>
    </row>
    <row r="427" spans="1:16">
      <c r="I427" s="186" t="s">
        <v>1514</v>
      </c>
      <c r="J427" s="188">
        <v>1159.134</v>
      </c>
      <c r="K427" s="188">
        <v>0</v>
      </c>
      <c r="L427" s="188">
        <v>2046.2</v>
      </c>
      <c r="M427" s="188">
        <v>1282.134</v>
      </c>
      <c r="N427" s="188">
        <v>1923.2</v>
      </c>
      <c r="O427" s="188">
        <v>0</v>
      </c>
      <c r="P427" s="193"/>
    </row>
    <row r="428" spans="1:16">
      <c r="I428" s="186" t="s">
        <v>1515</v>
      </c>
      <c r="J428" s="188">
        <v>0</v>
      </c>
      <c r="K428" s="188">
        <v>0</v>
      </c>
      <c r="L428" s="188">
        <v>23886.171690000003</v>
      </c>
      <c r="M428" s="188">
        <v>23886.171690000003</v>
      </c>
      <c r="N428" s="188">
        <v>0</v>
      </c>
      <c r="O428" s="188">
        <v>0</v>
      </c>
      <c r="P428" s="193"/>
    </row>
    <row r="429" spans="1:16">
      <c r="I429" s="186" t="s">
        <v>1516</v>
      </c>
      <c r="J429" s="188">
        <v>0</v>
      </c>
      <c r="K429" s="188">
        <v>0</v>
      </c>
      <c r="L429" s="188">
        <v>14135.85</v>
      </c>
      <c r="M429" s="188">
        <v>14135.85</v>
      </c>
      <c r="N429" s="188">
        <v>0</v>
      </c>
      <c r="O429" s="188">
        <v>0</v>
      </c>
      <c r="P429" s="193"/>
    </row>
    <row r="430" spans="1:16">
      <c r="I430" s="186" t="s">
        <v>1517</v>
      </c>
      <c r="J430" s="188">
        <v>0</v>
      </c>
      <c r="K430" s="188">
        <v>0</v>
      </c>
      <c r="L430" s="188">
        <v>3208.8</v>
      </c>
      <c r="M430" s="188">
        <v>3208.8</v>
      </c>
      <c r="N430" s="188">
        <v>0</v>
      </c>
      <c r="O430" s="188">
        <v>0</v>
      </c>
      <c r="P430" s="193"/>
    </row>
    <row r="431" spans="1:16">
      <c r="I431" s="186" t="s">
        <v>1518</v>
      </c>
      <c r="J431" s="188">
        <v>0</v>
      </c>
      <c r="K431" s="188">
        <v>0</v>
      </c>
      <c r="L431" s="188">
        <v>70740</v>
      </c>
      <c r="M431" s="188">
        <v>70740</v>
      </c>
      <c r="N431" s="188">
        <v>0</v>
      </c>
      <c r="O431" s="188">
        <v>0</v>
      </c>
      <c r="P431" s="193"/>
    </row>
    <row r="432" spans="1:16">
      <c r="I432" s="186" t="s">
        <v>1519</v>
      </c>
      <c r="J432" s="188">
        <v>0</v>
      </c>
      <c r="K432" s="188">
        <v>0</v>
      </c>
      <c r="L432" s="188">
        <v>6435.0249999999996</v>
      </c>
      <c r="M432" s="188">
        <v>6435.0249999999996</v>
      </c>
      <c r="N432" s="188">
        <v>0</v>
      </c>
      <c r="O432" s="188">
        <v>0</v>
      </c>
      <c r="P432" s="193"/>
    </row>
    <row r="433" spans="9:16">
      <c r="I433" s="186" t="s">
        <v>1520</v>
      </c>
      <c r="J433" s="188">
        <v>0</v>
      </c>
      <c r="K433" s="188">
        <v>0</v>
      </c>
      <c r="L433" s="188">
        <v>300</v>
      </c>
      <c r="M433" s="188">
        <v>300</v>
      </c>
      <c r="N433" s="188">
        <v>0</v>
      </c>
      <c r="O433" s="188">
        <v>0</v>
      </c>
      <c r="P433" s="193"/>
    </row>
    <row r="434" spans="9:16">
      <c r="I434" s="186" t="s">
        <v>1521</v>
      </c>
      <c r="J434" s="188">
        <v>12326.72307</v>
      </c>
      <c r="K434" s="188">
        <v>0</v>
      </c>
      <c r="L434" s="188">
        <v>155298.08699000001</v>
      </c>
      <c r="M434" s="188">
        <v>167624.81005999999</v>
      </c>
      <c r="N434" s="188">
        <v>0</v>
      </c>
      <c r="O434" s="188">
        <v>0</v>
      </c>
      <c r="P434" s="193"/>
    </row>
    <row r="435" spans="9:16">
      <c r="I435" s="186" t="s">
        <v>941</v>
      </c>
      <c r="J435" s="188">
        <v>300.04000000000002</v>
      </c>
      <c r="K435" s="188">
        <v>0</v>
      </c>
      <c r="L435" s="188">
        <v>2863.7645000000002</v>
      </c>
      <c r="M435" s="188">
        <v>3163.8045000000002</v>
      </c>
      <c r="N435" s="188">
        <v>0</v>
      </c>
      <c r="O435" s="188">
        <v>0</v>
      </c>
      <c r="P435" s="193"/>
    </row>
    <row r="436" spans="9:16">
      <c r="I436" s="186" t="s">
        <v>1522</v>
      </c>
      <c r="J436" s="188">
        <v>0</v>
      </c>
      <c r="K436" s="188">
        <v>0</v>
      </c>
      <c r="L436" s="188">
        <v>90.4</v>
      </c>
      <c r="M436" s="188">
        <v>90.4</v>
      </c>
      <c r="N436" s="188">
        <v>0</v>
      </c>
      <c r="O436" s="188">
        <v>0</v>
      </c>
      <c r="P436" s="193"/>
    </row>
    <row r="437" spans="9:16">
      <c r="I437" s="186" t="s">
        <v>1523</v>
      </c>
      <c r="J437" s="188">
        <v>55</v>
      </c>
      <c r="K437" s="188">
        <v>0</v>
      </c>
      <c r="L437" s="188">
        <v>0</v>
      </c>
      <c r="M437" s="188">
        <v>0</v>
      </c>
      <c r="N437" s="188">
        <v>55</v>
      </c>
      <c r="O437" s="188">
        <v>0</v>
      </c>
      <c r="P437" s="193"/>
    </row>
    <row r="438" spans="9:16">
      <c r="I438" s="186" t="s">
        <v>1524</v>
      </c>
      <c r="J438" s="188">
        <v>0</v>
      </c>
      <c r="K438" s="188">
        <v>0</v>
      </c>
      <c r="L438" s="188">
        <v>666.125</v>
      </c>
      <c r="M438" s="188">
        <v>666.125</v>
      </c>
      <c r="N438" s="188">
        <v>0</v>
      </c>
      <c r="O438" s="188">
        <v>0</v>
      </c>
      <c r="P438" s="193"/>
    </row>
    <row r="439" spans="9:16">
      <c r="I439" s="186" t="s">
        <v>1525</v>
      </c>
      <c r="J439" s="188">
        <v>31.28</v>
      </c>
      <c r="K439" s="188">
        <v>0</v>
      </c>
      <c r="L439" s="188">
        <v>605.19000000000005</v>
      </c>
      <c r="M439" s="188">
        <v>605.19000000000005</v>
      </c>
      <c r="N439" s="188">
        <v>31.28</v>
      </c>
      <c r="O439" s="188">
        <v>0</v>
      </c>
      <c r="P439" s="193"/>
    </row>
    <row r="440" spans="9:16">
      <c r="I440" s="186" t="s">
        <v>1526</v>
      </c>
      <c r="J440" s="188">
        <v>0</v>
      </c>
      <c r="K440" s="188">
        <v>0</v>
      </c>
      <c r="L440" s="188">
        <v>476.09199999999998</v>
      </c>
      <c r="M440" s="188">
        <v>476.09199999999998</v>
      </c>
      <c r="N440" s="188">
        <v>0</v>
      </c>
      <c r="O440" s="188">
        <v>0</v>
      </c>
      <c r="P440" s="193"/>
    </row>
    <row r="441" spans="9:16">
      <c r="I441" s="186" t="s">
        <v>1527</v>
      </c>
      <c r="J441" s="188">
        <v>359.27499999999998</v>
      </c>
      <c r="K441" s="188">
        <v>0</v>
      </c>
      <c r="L441" s="188">
        <v>0</v>
      </c>
      <c r="M441" s="188">
        <v>0</v>
      </c>
      <c r="N441" s="188">
        <v>359.27499999999998</v>
      </c>
      <c r="O441" s="188">
        <v>0</v>
      </c>
      <c r="P441" s="193"/>
    </row>
    <row r="442" spans="9:16">
      <c r="I442" s="186" t="s">
        <v>1528</v>
      </c>
      <c r="J442" s="188">
        <v>0</v>
      </c>
      <c r="K442" s="188">
        <v>0</v>
      </c>
      <c r="L442" s="188">
        <v>30</v>
      </c>
      <c r="M442" s="188">
        <v>30</v>
      </c>
      <c r="N442" s="188">
        <v>0</v>
      </c>
      <c r="O442" s="188">
        <v>0</v>
      </c>
      <c r="P442" s="193"/>
    </row>
    <row r="443" spans="9:16">
      <c r="I443" s="186" t="s">
        <v>1529</v>
      </c>
      <c r="J443" s="188">
        <v>0</v>
      </c>
      <c r="K443" s="188">
        <v>0</v>
      </c>
      <c r="L443" s="188">
        <v>1650.15</v>
      </c>
      <c r="M443" s="188">
        <v>1650.15</v>
      </c>
      <c r="N443" s="188">
        <v>0</v>
      </c>
      <c r="O443" s="188">
        <v>0</v>
      </c>
      <c r="P443" s="193"/>
    </row>
    <row r="444" spans="9:16">
      <c r="I444" s="186" t="s">
        <v>1530</v>
      </c>
      <c r="J444" s="188">
        <v>0</v>
      </c>
      <c r="K444" s="188">
        <v>0</v>
      </c>
      <c r="L444" s="188">
        <v>4126.9650000000001</v>
      </c>
      <c r="M444" s="188">
        <v>4126.9650000000001</v>
      </c>
      <c r="N444" s="188">
        <v>0</v>
      </c>
      <c r="O444" s="188">
        <v>0</v>
      </c>
      <c r="P444" s="193"/>
    </row>
    <row r="445" spans="9:16">
      <c r="I445" s="186" t="s">
        <v>1531</v>
      </c>
      <c r="J445" s="188">
        <v>137.52000000000001</v>
      </c>
      <c r="K445" s="188">
        <v>0</v>
      </c>
      <c r="L445" s="188">
        <v>0</v>
      </c>
      <c r="M445" s="188">
        <v>0</v>
      </c>
      <c r="N445" s="188">
        <v>137.52000000000001</v>
      </c>
      <c r="O445" s="188">
        <v>0</v>
      </c>
      <c r="P445" s="193"/>
    </row>
    <row r="446" spans="9:16">
      <c r="I446" s="186" t="s">
        <v>1532</v>
      </c>
      <c r="J446" s="188">
        <v>0</v>
      </c>
      <c r="K446" s="188">
        <v>0</v>
      </c>
      <c r="L446" s="188">
        <v>702385.54536999995</v>
      </c>
      <c r="M446" s="188">
        <v>702385.54536999995</v>
      </c>
      <c r="N446" s="188">
        <v>0</v>
      </c>
      <c r="O446" s="188">
        <v>0</v>
      </c>
      <c r="P446" s="193"/>
    </row>
    <row r="447" spans="9:16">
      <c r="I447" s="186" t="s">
        <v>1533</v>
      </c>
      <c r="J447" s="188">
        <v>0</v>
      </c>
      <c r="K447" s="188">
        <v>0</v>
      </c>
      <c r="L447" s="188">
        <v>435</v>
      </c>
      <c r="M447" s="188">
        <v>121</v>
      </c>
      <c r="N447" s="188">
        <v>314</v>
      </c>
      <c r="O447" s="188">
        <v>0</v>
      </c>
      <c r="P447" s="193"/>
    </row>
    <row r="448" spans="9:16">
      <c r="I448" s="186" t="s">
        <v>1534</v>
      </c>
      <c r="J448" s="188">
        <v>0</v>
      </c>
      <c r="K448" s="188">
        <v>0</v>
      </c>
      <c r="L448" s="188">
        <v>53.1</v>
      </c>
      <c r="M448" s="188">
        <v>53.1</v>
      </c>
      <c r="N448" s="188">
        <v>0</v>
      </c>
      <c r="O448" s="188">
        <v>0</v>
      </c>
      <c r="P448" s="193"/>
    </row>
    <row r="449" spans="9:16">
      <c r="I449" s="186" t="s">
        <v>1534</v>
      </c>
      <c r="J449" s="188">
        <v>0</v>
      </c>
      <c r="K449" s="188">
        <v>0</v>
      </c>
      <c r="L449" s="188">
        <v>54</v>
      </c>
      <c r="M449" s="188">
        <v>54</v>
      </c>
      <c r="N449" s="188">
        <v>0</v>
      </c>
      <c r="O449" s="188">
        <v>0</v>
      </c>
      <c r="P449" s="193"/>
    </row>
    <row r="450" spans="9:16">
      <c r="I450" s="186" t="s">
        <v>1535</v>
      </c>
      <c r="J450" s="188">
        <v>0</v>
      </c>
      <c r="K450" s="188">
        <v>0</v>
      </c>
      <c r="L450" s="188">
        <v>200</v>
      </c>
      <c r="M450" s="188">
        <v>100</v>
      </c>
      <c r="N450" s="188">
        <v>100</v>
      </c>
      <c r="O450" s="188">
        <v>0</v>
      </c>
      <c r="P450" s="193"/>
    </row>
    <row r="451" spans="9:16">
      <c r="I451" s="186" t="s">
        <v>1536</v>
      </c>
      <c r="J451" s="188">
        <v>0</v>
      </c>
      <c r="K451" s="188">
        <v>0</v>
      </c>
      <c r="L451" s="188">
        <v>175.61600000000001</v>
      </c>
      <c r="M451" s="188">
        <v>175.61600000000001</v>
      </c>
      <c r="N451" s="188">
        <v>0</v>
      </c>
      <c r="O451" s="188">
        <v>0</v>
      </c>
      <c r="P451" s="193"/>
    </row>
    <row r="452" spans="9:16">
      <c r="I452" s="186" t="s">
        <v>1537</v>
      </c>
      <c r="J452" s="188">
        <v>0</v>
      </c>
      <c r="K452" s="188">
        <v>0</v>
      </c>
      <c r="L452" s="188">
        <v>221.21</v>
      </c>
      <c r="M452" s="188">
        <v>221.21</v>
      </c>
      <c r="N452" s="188">
        <v>0</v>
      </c>
      <c r="O452" s="188">
        <v>0</v>
      </c>
      <c r="P452" s="193"/>
    </row>
    <row r="453" spans="9:16">
      <c r="I453" s="186" t="s">
        <v>1538</v>
      </c>
      <c r="J453" s="188">
        <v>0</v>
      </c>
      <c r="K453" s="188">
        <v>0</v>
      </c>
      <c r="L453" s="188">
        <v>106.134</v>
      </c>
      <c r="M453" s="188">
        <v>106.134</v>
      </c>
      <c r="N453" s="188">
        <v>0</v>
      </c>
      <c r="O453" s="188">
        <v>0</v>
      </c>
      <c r="P453" s="193"/>
    </row>
    <row r="454" spans="9:16">
      <c r="I454" s="186" t="s">
        <v>1539</v>
      </c>
      <c r="J454" s="188">
        <v>604.5127</v>
      </c>
      <c r="K454" s="188">
        <v>0</v>
      </c>
      <c r="L454" s="188">
        <v>0</v>
      </c>
      <c r="M454" s="188">
        <v>604.5127</v>
      </c>
      <c r="N454" s="188">
        <v>0</v>
      </c>
      <c r="O454" s="188">
        <v>0</v>
      </c>
      <c r="P454" s="193"/>
    </row>
    <row r="455" spans="9:16">
      <c r="I455" s="186" t="s">
        <v>1540</v>
      </c>
      <c r="J455" s="188">
        <v>0</v>
      </c>
      <c r="K455" s="188">
        <v>0</v>
      </c>
      <c r="L455" s="188">
        <v>1598.7348</v>
      </c>
      <c r="M455" s="188">
        <v>0</v>
      </c>
      <c r="N455" s="197">
        <v>1598.7348</v>
      </c>
      <c r="O455" s="188">
        <v>0</v>
      </c>
      <c r="P455" s="193"/>
    </row>
    <row r="456" spans="9:16">
      <c r="I456" s="186" t="s">
        <v>1541</v>
      </c>
      <c r="J456" s="188">
        <v>0</v>
      </c>
      <c r="K456" s="188">
        <v>0</v>
      </c>
      <c r="L456" s="188">
        <v>438.75</v>
      </c>
      <c r="M456" s="188">
        <v>438.75</v>
      </c>
      <c r="N456" s="188">
        <v>0</v>
      </c>
      <c r="O456" s="188">
        <v>0</v>
      </c>
      <c r="P456" s="193"/>
    </row>
    <row r="457" spans="9:16">
      <c r="I457" s="186" t="s">
        <v>1542</v>
      </c>
      <c r="J457" s="188">
        <v>0</v>
      </c>
      <c r="K457" s="188">
        <v>0</v>
      </c>
      <c r="L457" s="188">
        <v>137.16</v>
      </c>
      <c r="M457" s="188">
        <v>137.16</v>
      </c>
      <c r="N457" s="188">
        <v>0</v>
      </c>
      <c r="O457" s="188">
        <v>0</v>
      </c>
      <c r="P457" s="193"/>
    </row>
    <row r="458" spans="9:16">
      <c r="I458" s="186" t="s">
        <v>1543</v>
      </c>
      <c r="J458" s="188">
        <v>0</v>
      </c>
      <c r="K458" s="188">
        <v>0</v>
      </c>
      <c r="L458" s="188">
        <v>24978.995999999999</v>
      </c>
      <c r="M458" s="188">
        <v>24978.995999999999</v>
      </c>
      <c r="N458" s="188">
        <v>0</v>
      </c>
      <c r="O458" s="188">
        <v>0</v>
      </c>
      <c r="P458" s="193"/>
    </row>
    <row r="459" spans="9:16">
      <c r="I459" s="186" t="s">
        <v>1544</v>
      </c>
      <c r="J459" s="188">
        <v>0</v>
      </c>
      <c r="K459" s="188">
        <v>0</v>
      </c>
      <c r="L459" s="188">
        <v>804</v>
      </c>
      <c r="M459" s="188">
        <v>0</v>
      </c>
      <c r="N459" s="188">
        <v>804</v>
      </c>
      <c r="O459" s="188">
        <v>0</v>
      </c>
      <c r="P459" s="193"/>
    </row>
    <row r="460" spans="9:16">
      <c r="I460" s="186" t="s">
        <v>1545</v>
      </c>
      <c r="J460" s="188">
        <v>0</v>
      </c>
      <c r="K460" s="188">
        <v>0</v>
      </c>
      <c r="L460" s="188">
        <v>6</v>
      </c>
      <c r="M460" s="188">
        <v>6</v>
      </c>
      <c r="N460" s="188">
        <v>0</v>
      </c>
      <c r="O460" s="188">
        <v>0</v>
      </c>
      <c r="P460" s="193"/>
    </row>
    <row r="461" spans="9:16">
      <c r="I461" s="186" t="s">
        <v>1546</v>
      </c>
      <c r="J461" s="188">
        <v>0</v>
      </c>
      <c r="K461" s="188">
        <v>0</v>
      </c>
      <c r="L461" s="188">
        <v>125.75</v>
      </c>
      <c r="M461" s="188">
        <v>125.75</v>
      </c>
      <c r="N461" s="188">
        <v>0</v>
      </c>
      <c r="O461" s="188">
        <v>0</v>
      </c>
      <c r="P461" s="193"/>
    </row>
    <row r="462" spans="9:16">
      <c r="I462" s="186" t="s">
        <v>1547</v>
      </c>
      <c r="J462" s="188">
        <v>0</v>
      </c>
      <c r="K462" s="188">
        <v>0</v>
      </c>
      <c r="L462" s="188">
        <v>10341.413970000001</v>
      </c>
      <c r="M462" s="188">
        <v>10341.413970000001</v>
      </c>
      <c r="N462" s="188">
        <v>0</v>
      </c>
      <c r="O462" s="188">
        <v>0</v>
      </c>
      <c r="P462" s="193"/>
    </row>
    <row r="463" spans="9:16">
      <c r="I463" s="186" t="s">
        <v>1548</v>
      </c>
      <c r="J463" s="188">
        <v>0</v>
      </c>
      <c r="K463" s="188">
        <v>0</v>
      </c>
      <c r="L463" s="188">
        <v>1865.58</v>
      </c>
      <c r="M463" s="188">
        <v>1865.58</v>
      </c>
      <c r="N463" s="188">
        <v>0</v>
      </c>
      <c r="O463" s="188">
        <v>0</v>
      </c>
      <c r="P463" s="193"/>
    </row>
    <row r="464" spans="9:16">
      <c r="I464" s="186" t="s">
        <v>1549</v>
      </c>
      <c r="J464" s="188">
        <v>0</v>
      </c>
      <c r="K464" s="188">
        <v>0</v>
      </c>
      <c r="L464" s="188">
        <v>122.5</v>
      </c>
      <c r="M464" s="188">
        <v>122.5</v>
      </c>
      <c r="N464" s="188">
        <v>0</v>
      </c>
      <c r="O464" s="188">
        <v>0</v>
      </c>
      <c r="P464" s="193"/>
    </row>
    <row r="465" spans="9:16">
      <c r="I465" s="186" t="s">
        <v>1550</v>
      </c>
      <c r="J465" s="188">
        <v>0</v>
      </c>
      <c r="K465" s="188">
        <v>0</v>
      </c>
      <c r="L465" s="188">
        <v>10270.981820000001</v>
      </c>
      <c r="M465" s="188">
        <v>10270.981820000001</v>
      </c>
      <c r="N465" s="188">
        <v>0</v>
      </c>
      <c r="O465" s="188">
        <v>0</v>
      </c>
      <c r="P465" s="193"/>
    </row>
    <row r="466" spans="9:16">
      <c r="I466" s="186" t="s">
        <v>1551</v>
      </c>
      <c r="J466" s="188">
        <v>23.390709999999999</v>
      </c>
      <c r="K466" s="188">
        <v>0</v>
      </c>
      <c r="L466" s="188">
        <v>0</v>
      </c>
      <c r="M466" s="188">
        <v>23.390709999999999</v>
      </c>
      <c r="N466" s="188">
        <v>0</v>
      </c>
      <c r="O466" s="188">
        <v>0</v>
      </c>
      <c r="P466" s="193"/>
    </row>
    <row r="467" spans="9:16">
      <c r="I467" s="186" t="s">
        <v>1552</v>
      </c>
      <c r="J467" s="188">
        <v>0</v>
      </c>
      <c r="K467" s="188">
        <v>0</v>
      </c>
      <c r="L467" s="188">
        <v>7784</v>
      </c>
      <c r="M467" s="188">
        <v>7784</v>
      </c>
      <c r="N467" s="188">
        <v>0</v>
      </c>
      <c r="O467" s="188">
        <v>0</v>
      </c>
      <c r="P467" s="193"/>
    </row>
    <row r="468" spans="9:16">
      <c r="I468" s="186" t="s">
        <v>1553</v>
      </c>
      <c r="J468" s="188">
        <v>0</v>
      </c>
      <c r="K468" s="188">
        <v>0</v>
      </c>
      <c r="L468" s="188">
        <v>6.75</v>
      </c>
      <c r="M468" s="188">
        <v>6.75</v>
      </c>
      <c r="N468" s="188">
        <v>0</v>
      </c>
      <c r="O468" s="188">
        <v>0</v>
      </c>
      <c r="P468" s="193"/>
    </row>
    <row r="469" spans="9:16">
      <c r="I469" s="186" t="s">
        <v>1554</v>
      </c>
      <c r="J469" s="188">
        <v>0</v>
      </c>
      <c r="K469" s="188">
        <v>0</v>
      </c>
      <c r="L469" s="188">
        <v>42</v>
      </c>
      <c r="M469" s="188">
        <v>42</v>
      </c>
      <c r="N469" s="188">
        <v>0</v>
      </c>
      <c r="O469" s="188">
        <v>0</v>
      </c>
      <c r="P469" s="193"/>
    </row>
    <row r="470" spans="9:16">
      <c r="I470" s="186" t="s">
        <v>1555</v>
      </c>
      <c r="J470" s="188">
        <v>0</v>
      </c>
      <c r="K470" s="188">
        <v>0</v>
      </c>
      <c r="L470" s="188">
        <v>2130.94004</v>
      </c>
      <c r="M470" s="188">
        <v>2130.94004</v>
      </c>
      <c r="N470" s="188">
        <v>0</v>
      </c>
      <c r="O470" s="188">
        <v>0</v>
      </c>
      <c r="P470" s="193"/>
    </row>
    <row r="471" spans="9:16">
      <c r="I471" s="186" t="s">
        <v>1556</v>
      </c>
      <c r="J471" s="188">
        <v>6272.2092499999999</v>
      </c>
      <c r="K471" s="188">
        <v>0</v>
      </c>
      <c r="L471" s="188">
        <v>0</v>
      </c>
      <c r="M471" s="188">
        <v>0</v>
      </c>
      <c r="N471" s="188">
        <v>6272.2092499999999</v>
      </c>
      <c r="O471" s="188">
        <v>0</v>
      </c>
      <c r="P471" s="193"/>
    </row>
    <row r="472" spans="9:16">
      <c r="I472" s="186" t="s">
        <v>1557</v>
      </c>
      <c r="J472" s="188">
        <v>0</v>
      </c>
      <c r="K472" s="188">
        <v>0</v>
      </c>
      <c r="L472" s="188">
        <v>11054.330960000001</v>
      </c>
      <c r="M472" s="188">
        <v>11054.330960000001</v>
      </c>
      <c r="N472" s="188">
        <v>0</v>
      </c>
      <c r="O472" s="188">
        <v>0</v>
      </c>
      <c r="P472" s="193"/>
    </row>
    <row r="473" spans="9:16">
      <c r="I473" s="186" t="s">
        <v>1558</v>
      </c>
      <c r="J473" s="188">
        <v>70.091009999999997</v>
      </c>
      <c r="K473" s="188">
        <v>0</v>
      </c>
      <c r="L473" s="188">
        <v>12923.43332</v>
      </c>
      <c r="M473" s="188">
        <v>12618.12232</v>
      </c>
      <c r="N473" s="188">
        <v>375.40201000000002</v>
      </c>
      <c r="O473" s="188">
        <v>0</v>
      </c>
      <c r="P473" s="193"/>
    </row>
    <row r="474" spans="9:16">
      <c r="I474" s="186" t="s">
        <v>1559</v>
      </c>
      <c r="J474" s="188">
        <v>7256.7741500000002</v>
      </c>
      <c r="K474" s="188">
        <v>0</v>
      </c>
      <c r="L474" s="188">
        <v>64000</v>
      </c>
      <c r="M474" s="188">
        <v>58836.587460000002</v>
      </c>
      <c r="N474" s="188">
        <v>12420.186689999999</v>
      </c>
      <c r="O474" s="188">
        <v>0</v>
      </c>
      <c r="P474" s="193"/>
    </row>
    <row r="475" spans="9:16">
      <c r="I475" s="186" t="s">
        <v>1560</v>
      </c>
      <c r="J475" s="188">
        <v>0</v>
      </c>
      <c r="K475" s="188">
        <v>0</v>
      </c>
      <c r="L475" s="188">
        <v>424.95</v>
      </c>
      <c r="M475" s="188">
        <v>424.95</v>
      </c>
      <c r="N475" s="188">
        <v>0</v>
      </c>
      <c r="O475" s="188">
        <v>0</v>
      </c>
      <c r="P475" s="193"/>
    </row>
    <row r="476" spans="9:16">
      <c r="I476" s="186" t="s">
        <v>1561</v>
      </c>
      <c r="J476" s="188">
        <v>0</v>
      </c>
      <c r="K476" s="188">
        <v>0</v>
      </c>
      <c r="L476" s="188">
        <v>671.97</v>
      </c>
      <c r="M476" s="188">
        <v>671.97</v>
      </c>
      <c r="N476" s="188">
        <v>0</v>
      </c>
      <c r="O476" s="188">
        <v>0</v>
      </c>
      <c r="P476" s="193"/>
    </row>
    <row r="477" spans="9:16">
      <c r="I477" s="186" t="s">
        <v>1562</v>
      </c>
      <c r="J477" s="188">
        <v>0</v>
      </c>
      <c r="K477" s="188">
        <v>0</v>
      </c>
      <c r="L477" s="188">
        <v>11147</v>
      </c>
      <c r="M477" s="188">
        <v>11147</v>
      </c>
      <c r="N477" s="188">
        <v>0</v>
      </c>
      <c r="O477" s="188">
        <v>0</v>
      </c>
      <c r="P477" s="193"/>
    </row>
    <row r="478" spans="9:16">
      <c r="I478" s="186" t="s">
        <v>1563</v>
      </c>
      <c r="J478" s="188">
        <v>0</v>
      </c>
      <c r="K478" s="188">
        <v>0</v>
      </c>
      <c r="L478" s="188">
        <v>7922.8598700000002</v>
      </c>
      <c r="M478" s="188">
        <v>7922.8598700000002</v>
      </c>
      <c r="N478" s="188">
        <v>0</v>
      </c>
      <c r="O478" s="188">
        <v>0</v>
      </c>
      <c r="P478" s="193"/>
    </row>
    <row r="479" spans="9:16">
      <c r="I479" s="186" t="s">
        <v>1564</v>
      </c>
      <c r="J479" s="188">
        <v>0</v>
      </c>
      <c r="K479" s="188">
        <v>0</v>
      </c>
      <c r="L479" s="188">
        <v>21.31</v>
      </c>
      <c r="M479" s="188">
        <v>21.31</v>
      </c>
      <c r="N479" s="188">
        <v>0</v>
      </c>
      <c r="O479" s="188">
        <v>0</v>
      </c>
      <c r="P479" s="193"/>
    </row>
    <row r="480" spans="9:16">
      <c r="I480" s="186" t="s">
        <v>1565</v>
      </c>
      <c r="J480" s="188">
        <v>0</v>
      </c>
      <c r="K480" s="188">
        <v>0</v>
      </c>
      <c r="L480" s="188">
        <v>154087.30328999998</v>
      </c>
      <c r="M480" s="188">
        <v>154087.30328999998</v>
      </c>
      <c r="N480" s="188">
        <v>0</v>
      </c>
      <c r="O480" s="188">
        <v>0</v>
      </c>
      <c r="P480" s="193"/>
    </row>
    <row r="481" spans="9:16">
      <c r="I481" s="186" t="s">
        <v>1566</v>
      </c>
      <c r="J481" s="188">
        <v>0</v>
      </c>
      <c r="K481" s="188">
        <v>0</v>
      </c>
      <c r="L481" s="188">
        <v>239.42</v>
      </c>
      <c r="M481" s="188">
        <v>239.42</v>
      </c>
      <c r="N481" s="188">
        <v>0</v>
      </c>
      <c r="O481" s="188">
        <v>0</v>
      </c>
      <c r="P481" s="193"/>
    </row>
    <row r="482" spans="9:16">
      <c r="I482" s="186" t="s">
        <v>965</v>
      </c>
      <c r="J482" s="188">
        <v>0</v>
      </c>
      <c r="K482" s="188">
        <v>0</v>
      </c>
      <c r="L482" s="188">
        <v>427.74</v>
      </c>
      <c r="M482" s="188">
        <v>427.74</v>
      </c>
      <c r="N482" s="188">
        <v>0</v>
      </c>
      <c r="O482" s="188">
        <v>0</v>
      </c>
      <c r="P482" s="193"/>
    </row>
    <row r="483" spans="9:16">
      <c r="I483" s="186" t="s">
        <v>1567</v>
      </c>
      <c r="J483" s="188">
        <v>0</v>
      </c>
      <c r="K483" s="188">
        <v>0</v>
      </c>
      <c r="L483" s="188">
        <v>18173.702799999999</v>
      </c>
      <c r="M483" s="188">
        <v>18173.702799999999</v>
      </c>
      <c r="N483" s="188">
        <v>0</v>
      </c>
      <c r="O483" s="188">
        <v>0</v>
      </c>
      <c r="P483" s="193"/>
    </row>
    <row r="484" spans="9:16">
      <c r="I484" s="186" t="s">
        <v>1568</v>
      </c>
      <c r="J484" s="188">
        <v>0</v>
      </c>
      <c r="K484" s="188">
        <v>0</v>
      </c>
      <c r="L484" s="188">
        <v>48</v>
      </c>
      <c r="M484" s="188">
        <v>48</v>
      </c>
      <c r="N484" s="188">
        <v>0</v>
      </c>
      <c r="O484" s="188">
        <v>0</v>
      </c>
      <c r="P484" s="193"/>
    </row>
    <row r="485" spans="9:16">
      <c r="I485" s="186" t="s">
        <v>1569</v>
      </c>
      <c r="J485" s="188">
        <v>19.25</v>
      </c>
      <c r="K485" s="188">
        <v>0</v>
      </c>
      <c r="L485" s="188">
        <v>0</v>
      </c>
      <c r="M485" s="188">
        <v>0</v>
      </c>
      <c r="N485" s="188">
        <v>19.25</v>
      </c>
      <c r="O485" s="188">
        <v>0</v>
      </c>
      <c r="P485" s="193"/>
    </row>
    <row r="486" spans="9:16">
      <c r="I486" s="186" t="s">
        <v>1570</v>
      </c>
      <c r="J486" s="188">
        <v>0</v>
      </c>
      <c r="K486" s="188">
        <v>0</v>
      </c>
      <c r="L486" s="188">
        <v>399</v>
      </c>
      <c r="M486" s="188">
        <v>399</v>
      </c>
      <c r="N486" s="188">
        <v>0</v>
      </c>
      <c r="O486" s="188">
        <v>0</v>
      </c>
      <c r="P486" s="193"/>
    </row>
    <row r="487" spans="9:16">
      <c r="I487" s="186" t="s">
        <v>1571</v>
      </c>
      <c r="J487" s="188">
        <v>0</v>
      </c>
      <c r="K487" s="188">
        <v>0</v>
      </c>
      <c r="L487" s="188">
        <v>1047.3610000000001</v>
      </c>
      <c r="M487" s="188">
        <v>1047.3610000000001</v>
      </c>
      <c r="N487" s="188">
        <v>0</v>
      </c>
      <c r="O487" s="188">
        <v>0</v>
      </c>
      <c r="P487" s="193"/>
    </row>
    <row r="488" spans="9:16">
      <c r="I488" s="186" t="s">
        <v>1572</v>
      </c>
      <c r="J488" s="188">
        <v>0.26</v>
      </c>
      <c r="K488" s="188">
        <v>0</v>
      </c>
      <c r="L488" s="188">
        <v>308.98</v>
      </c>
      <c r="M488" s="188">
        <v>280.48</v>
      </c>
      <c r="N488" s="188">
        <v>28.76</v>
      </c>
      <c r="O488" s="188">
        <v>0</v>
      </c>
      <c r="P488" s="193"/>
    </row>
    <row r="489" spans="9:16">
      <c r="I489" s="186" t="s">
        <v>1573</v>
      </c>
      <c r="J489" s="188">
        <v>0</v>
      </c>
      <c r="K489" s="188">
        <v>0</v>
      </c>
      <c r="L489" s="188">
        <v>2947.002</v>
      </c>
      <c r="M489" s="188">
        <v>2947.002</v>
      </c>
      <c r="N489" s="188">
        <v>0</v>
      </c>
      <c r="O489" s="188">
        <v>0</v>
      </c>
      <c r="P489" s="193"/>
    </row>
    <row r="490" spans="9:16">
      <c r="I490" s="186" t="s">
        <v>1574</v>
      </c>
      <c r="J490" s="188">
        <v>0</v>
      </c>
      <c r="K490" s="188">
        <v>0</v>
      </c>
      <c r="L490" s="188">
        <v>11610.874800000001</v>
      </c>
      <c r="M490" s="188">
        <v>11610.874800000001</v>
      </c>
      <c r="N490" s="188">
        <v>0</v>
      </c>
      <c r="O490" s="188">
        <v>0</v>
      </c>
      <c r="P490" s="193"/>
    </row>
    <row r="491" spans="9:16">
      <c r="I491" s="186" t="s">
        <v>1575</v>
      </c>
      <c r="J491" s="188">
        <v>0</v>
      </c>
      <c r="K491" s="188">
        <v>0</v>
      </c>
      <c r="L491" s="188">
        <v>81137.724860000002</v>
      </c>
      <c r="M491" s="188">
        <v>81137.724860000002</v>
      </c>
      <c r="N491" s="188">
        <v>0</v>
      </c>
      <c r="O491" s="188">
        <v>0</v>
      </c>
      <c r="P491" s="193"/>
    </row>
    <row r="492" spans="9:16">
      <c r="I492" s="186" t="s">
        <v>972</v>
      </c>
      <c r="J492" s="188">
        <v>0</v>
      </c>
      <c r="K492" s="188">
        <v>0</v>
      </c>
      <c r="L492" s="188">
        <v>13488.731</v>
      </c>
      <c r="M492" s="188">
        <v>13488.731</v>
      </c>
      <c r="N492" s="188">
        <v>0</v>
      </c>
      <c r="O492" s="188">
        <v>0</v>
      </c>
      <c r="P492" s="193"/>
    </row>
    <row r="493" spans="9:16">
      <c r="I493" s="186" t="s">
        <v>1576</v>
      </c>
      <c r="J493" s="188">
        <v>1860</v>
      </c>
      <c r="K493" s="188">
        <v>0</v>
      </c>
      <c r="L493" s="188">
        <v>0</v>
      </c>
      <c r="M493" s="188">
        <v>0</v>
      </c>
      <c r="N493" s="188">
        <v>1860</v>
      </c>
      <c r="O493" s="188">
        <v>0</v>
      </c>
      <c r="P493" s="193"/>
    </row>
    <row r="494" spans="9:16">
      <c r="I494" s="186" t="s">
        <v>1577</v>
      </c>
      <c r="J494" s="188">
        <v>154.5</v>
      </c>
      <c r="K494" s="188">
        <v>0</v>
      </c>
      <c r="L494" s="188">
        <v>0</v>
      </c>
      <c r="M494" s="188">
        <v>94.5</v>
      </c>
      <c r="N494" s="188">
        <v>60</v>
      </c>
      <c r="O494" s="188">
        <v>0</v>
      </c>
      <c r="P494" s="193"/>
    </row>
    <row r="495" spans="9:16">
      <c r="I495" s="186" t="s">
        <v>1578</v>
      </c>
      <c r="J495" s="188">
        <v>55</v>
      </c>
      <c r="K495" s="188">
        <v>0</v>
      </c>
      <c r="L495" s="188">
        <v>55</v>
      </c>
      <c r="M495" s="188">
        <v>40</v>
      </c>
      <c r="N495" s="188">
        <v>70</v>
      </c>
      <c r="O495" s="188">
        <v>0</v>
      </c>
      <c r="P495" s="193"/>
    </row>
    <row r="496" spans="9:16">
      <c r="I496" s="186" t="s">
        <v>1579</v>
      </c>
      <c r="J496" s="188">
        <v>0</v>
      </c>
      <c r="K496" s="188">
        <v>0</v>
      </c>
      <c r="L496" s="188">
        <v>63</v>
      </c>
      <c r="M496" s="188">
        <v>63</v>
      </c>
      <c r="N496" s="188">
        <v>0</v>
      </c>
      <c r="O496" s="188">
        <v>0</v>
      </c>
      <c r="P496" s="193"/>
    </row>
    <row r="497" spans="9:16">
      <c r="I497" s="186" t="s">
        <v>1580</v>
      </c>
      <c r="J497" s="188">
        <v>0</v>
      </c>
      <c r="K497" s="188">
        <v>0</v>
      </c>
      <c r="L497" s="188">
        <v>27</v>
      </c>
      <c r="M497" s="188">
        <v>27</v>
      </c>
      <c r="N497" s="188">
        <v>0</v>
      </c>
      <c r="O497" s="188">
        <v>0</v>
      </c>
      <c r="P497" s="193"/>
    </row>
    <row r="498" spans="9:16">
      <c r="I498" s="186" t="s">
        <v>1581</v>
      </c>
      <c r="J498" s="188">
        <v>0</v>
      </c>
      <c r="K498" s="188">
        <v>0</v>
      </c>
      <c r="L498" s="188">
        <v>12430.5</v>
      </c>
      <c r="M498" s="188">
        <v>12430.5</v>
      </c>
      <c r="N498" s="188">
        <v>0</v>
      </c>
      <c r="O498" s="188">
        <v>0</v>
      </c>
      <c r="P498" s="193"/>
    </row>
    <row r="499" spans="9:16">
      <c r="I499" s="186" t="s">
        <v>1582</v>
      </c>
      <c r="J499" s="188">
        <v>0</v>
      </c>
      <c r="K499" s="188">
        <v>0</v>
      </c>
      <c r="L499" s="188">
        <v>11792.247810000001</v>
      </c>
      <c r="M499" s="188">
        <v>11792.247810000001</v>
      </c>
      <c r="N499" s="188">
        <v>0</v>
      </c>
      <c r="O499" s="188">
        <v>0</v>
      </c>
      <c r="P499" s="193"/>
    </row>
    <row r="500" spans="9:16">
      <c r="I500" s="186" t="s">
        <v>1583</v>
      </c>
      <c r="J500" s="188">
        <v>0</v>
      </c>
      <c r="K500" s="188">
        <v>0</v>
      </c>
      <c r="L500" s="188">
        <v>931.39200000000005</v>
      </c>
      <c r="M500" s="188">
        <v>931.39200000000005</v>
      </c>
      <c r="N500" s="188">
        <v>0</v>
      </c>
      <c r="O500" s="188">
        <v>0</v>
      </c>
      <c r="P500" s="193"/>
    </row>
    <row r="501" spans="9:16">
      <c r="I501" s="186" t="s">
        <v>1584</v>
      </c>
      <c r="J501" s="188">
        <v>0</v>
      </c>
      <c r="K501" s="188">
        <v>0</v>
      </c>
      <c r="L501" s="188">
        <v>207.93988000000002</v>
      </c>
      <c r="M501" s="188">
        <v>150.352</v>
      </c>
      <c r="N501" s="188">
        <v>57.587879999999998</v>
      </c>
      <c r="O501" s="188">
        <v>0</v>
      </c>
      <c r="P501" s="193"/>
    </row>
    <row r="502" spans="9:16">
      <c r="I502" s="186" t="s">
        <v>1585</v>
      </c>
      <c r="J502" s="188">
        <v>323.75</v>
      </c>
      <c r="K502" s="188">
        <v>0</v>
      </c>
      <c r="L502" s="188">
        <v>0</v>
      </c>
      <c r="M502" s="188">
        <v>0</v>
      </c>
      <c r="N502" s="188">
        <v>323.75</v>
      </c>
      <c r="O502" s="188">
        <v>0</v>
      </c>
      <c r="P502" s="193"/>
    </row>
    <row r="503" spans="9:16">
      <c r="I503" s="186" t="s">
        <v>1586</v>
      </c>
      <c r="J503" s="188">
        <v>180</v>
      </c>
      <c r="K503" s="188">
        <v>0</v>
      </c>
      <c r="L503" s="188">
        <v>3600.9920000000002</v>
      </c>
      <c r="M503" s="188">
        <v>3780.9920000000002</v>
      </c>
      <c r="N503" s="188">
        <v>0</v>
      </c>
      <c r="O503" s="188">
        <v>0</v>
      </c>
      <c r="P503" s="193"/>
    </row>
    <row r="504" spans="9:16">
      <c r="I504" s="186" t="s">
        <v>1587</v>
      </c>
      <c r="J504" s="188">
        <v>0</v>
      </c>
      <c r="K504" s="188">
        <v>0</v>
      </c>
      <c r="L504" s="188">
        <v>179.95400000000001</v>
      </c>
      <c r="M504" s="188">
        <v>125.78</v>
      </c>
      <c r="N504" s="188">
        <v>54.173999999999999</v>
      </c>
      <c r="O504" s="188">
        <v>0</v>
      </c>
      <c r="P504" s="193"/>
    </row>
    <row r="505" spans="9:16">
      <c r="I505" s="186" t="s">
        <v>1588</v>
      </c>
      <c r="J505" s="188">
        <v>0</v>
      </c>
      <c r="K505" s="188">
        <v>0</v>
      </c>
      <c r="L505" s="188">
        <v>540</v>
      </c>
      <c r="M505" s="188">
        <v>0</v>
      </c>
      <c r="N505" s="188">
        <v>540</v>
      </c>
      <c r="O505" s="188">
        <v>0</v>
      </c>
      <c r="P505" s="193"/>
    </row>
    <row r="506" spans="9:16">
      <c r="I506" s="186" t="s">
        <v>1589</v>
      </c>
      <c r="J506" s="188">
        <v>9940.5</v>
      </c>
      <c r="K506" s="188">
        <v>0</v>
      </c>
      <c r="L506" s="188">
        <v>225522.92</v>
      </c>
      <c r="M506" s="188">
        <v>235463.42</v>
      </c>
      <c r="N506" s="188">
        <v>0</v>
      </c>
      <c r="O506" s="188">
        <v>0</v>
      </c>
      <c r="P506" s="193"/>
    </row>
    <row r="507" spans="9:16">
      <c r="I507" s="186" t="s">
        <v>1590</v>
      </c>
      <c r="J507" s="188">
        <v>0</v>
      </c>
      <c r="K507" s="188">
        <v>0</v>
      </c>
      <c r="L507" s="188">
        <v>103</v>
      </c>
      <c r="M507" s="188">
        <v>103</v>
      </c>
      <c r="N507" s="188">
        <v>0</v>
      </c>
      <c r="O507" s="188">
        <v>0</v>
      </c>
      <c r="P507" s="193"/>
    </row>
    <row r="508" spans="9:16">
      <c r="I508" s="186" t="s">
        <v>1591</v>
      </c>
      <c r="J508" s="188">
        <v>1619.933</v>
      </c>
      <c r="K508" s="188">
        <v>0</v>
      </c>
      <c r="L508" s="188">
        <v>0</v>
      </c>
      <c r="M508" s="188">
        <v>0</v>
      </c>
      <c r="N508" s="188">
        <v>1619.933</v>
      </c>
      <c r="O508" s="188">
        <v>0</v>
      </c>
      <c r="P508" s="193"/>
    </row>
    <row r="509" spans="9:16">
      <c r="I509" s="186" t="s">
        <v>1592</v>
      </c>
      <c r="J509" s="188">
        <v>350.83100000000002</v>
      </c>
      <c r="K509" s="188">
        <v>0</v>
      </c>
      <c r="L509" s="188">
        <v>0</v>
      </c>
      <c r="M509" s="188">
        <v>350.83100000000002</v>
      </c>
      <c r="N509" s="188">
        <v>0</v>
      </c>
      <c r="O509" s="188">
        <v>0</v>
      </c>
      <c r="P509" s="193"/>
    </row>
    <row r="510" spans="9:16">
      <c r="I510" s="186" t="s">
        <v>1593</v>
      </c>
      <c r="J510" s="188">
        <v>0</v>
      </c>
      <c r="K510" s="188">
        <v>0</v>
      </c>
      <c r="L510" s="188">
        <v>157.1</v>
      </c>
      <c r="M510" s="188">
        <v>157.1</v>
      </c>
      <c r="N510" s="188">
        <v>0</v>
      </c>
      <c r="O510" s="188">
        <v>0</v>
      </c>
      <c r="P510" s="193"/>
    </row>
    <row r="511" spans="9:16">
      <c r="I511" s="186" t="s">
        <v>1594</v>
      </c>
      <c r="J511" s="188">
        <v>0</v>
      </c>
      <c r="K511" s="188">
        <v>0</v>
      </c>
      <c r="L511" s="188">
        <v>56.112000000000002</v>
      </c>
      <c r="M511" s="188">
        <v>56.112000000000002</v>
      </c>
      <c r="N511" s="188">
        <v>0</v>
      </c>
      <c r="O511" s="188">
        <v>0</v>
      </c>
      <c r="P511" s="193"/>
    </row>
    <row r="512" spans="9:16">
      <c r="I512" s="186" t="s">
        <v>1595</v>
      </c>
      <c r="J512" s="188">
        <v>0</v>
      </c>
      <c r="K512" s="188">
        <v>0</v>
      </c>
      <c r="L512" s="188">
        <v>4306.3537999999999</v>
      </c>
      <c r="M512" s="188">
        <v>4306.3537999999999</v>
      </c>
      <c r="N512" s="188">
        <v>0</v>
      </c>
      <c r="O512" s="188">
        <v>0</v>
      </c>
      <c r="P512" s="193"/>
    </row>
    <row r="513" spans="9:16">
      <c r="I513" s="186" t="s">
        <v>974</v>
      </c>
      <c r="J513" s="188">
        <v>0</v>
      </c>
      <c r="K513" s="188">
        <v>0</v>
      </c>
      <c r="L513" s="188">
        <v>255.62</v>
      </c>
      <c r="M513" s="188">
        <v>255.62</v>
      </c>
      <c r="N513" s="188">
        <v>0</v>
      </c>
      <c r="O513" s="188">
        <v>0</v>
      </c>
      <c r="P513" s="193"/>
    </row>
    <row r="514" spans="9:16">
      <c r="I514" s="186" t="s">
        <v>1596</v>
      </c>
      <c r="J514" s="188">
        <v>0</v>
      </c>
      <c r="K514" s="188">
        <v>0</v>
      </c>
      <c r="L514" s="188">
        <v>100</v>
      </c>
      <c r="M514" s="188">
        <v>0</v>
      </c>
      <c r="N514" s="188">
        <v>100</v>
      </c>
      <c r="O514" s="188">
        <v>0</v>
      </c>
      <c r="P514" s="193"/>
    </row>
    <row r="515" spans="9:16">
      <c r="I515" s="186" t="s">
        <v>1597</v>
      </c>
      <c r="J515" s="188">
        <v>0</v>
      </c>
      <c r="K515" s="188">
        <v>0</v>
      </c>
      <c r="L515" s="188">
        <v>259.14668</v>
      </c>
      <c r="M515" s="188">
        <v>259.14668</v>
      </c>
      <c r="N515" s="188">
        <v>0</v>
      </c>
      <c r="O515" s="188">
        <v>0</v>
      </c>
      <c r="P515" s="193"/>
    </row>
    <row r="516" spans="9:16">
      <c r="I516" s="186" t="s">
        <v>1598</v>
      </c>
      <c r="J516" s="188">
        <v>0</v>
      </c>
      <c r="K516" s="188">
        <v>0</v>
      </c>
      <c r="L516" s="188">
        <v>724.3</v>
      </c>
      <c r="M516" s="188">
        <v>724.3</v>
      </c>
      <c r="N516" s="188">
        <v>0</v>
      </c>
      <c r="O516" s="188">
        <v>0</v>
      </c>
      <c r="P516" s="193"/>
    </row>
    <row r="517" spans="9:16">
      <c r="I517" s="186" t="s">
        <v>1599</v>
      </c>
      <c r="J517" s="188">
        <v>0</v>
      </c>
      <c r="K517" s="188">
        <v>0</v>
      </c>
      <c r="L517" s="188">
        <v>44.99</v>
      </c>
      <c r="M517" s="188">
        <v>44.99</v>
      </c>
      <c r="N517" s="188">
        <v>0</v>
      </c>
      <c r="O517" s="188">
        <v>0</v>
      </c>
      <c r="P517" s="193"/>
    </row>
    <row r="518" spans="9:16">
      <c r="I518" s="186" t="s">
        <v>1600</v>
      </c>
      <c r="J518" s="188">
        <v>0</v>
      </c>
      <c r="K518" s="188">
        <v>0</v>
      </c>
      <c r="L518" s="188">
        <v>536.34699999999998</v>
      </c>
      <c r="M518" s="188">
        <v>0</v>
      </c>
      <c r="N518" s="188">
        <v>536.34699999999998</v>
      </c>
      <c r="O518" s="188">
        <v>0</v>
      </c>
      <c r="P518" s="193"/>
    </row>
    <row r="519" spans="9:16">
      <c r="I519" s="186" t="s">
        <v>1601</v>
      </c>
      <c r="J519" s="188">
        <v>0</v>
      </c>
      <c r="K519" s="188">
        <v>0</v>
      </c>
      <c r="L519" s="188">
        <v>758.78827000000001</v>
      </c>
      <c r="M519" s="188">
        <v>758.78827000000001</v>
      </c>
      <c r="N519" s="188">
        <v>0</v>
      </c>
      <c r="O519" s="188">
        <v>0</v>
      </c>
      <c r="P519" s="193"/>
    </row>
    <row r="520" spans="9:16">
      <c r="I520" s="186" t="s">
        <v>1602</v>
      </c>
      <c r="J520" s="188">
        <v>0</v>
      </c>
      <c r="K520" s="188">
        <v>0</v>
      </c>
      <c r="L520" s="188">
        <v>112</v>
      </c>
      <c r="M520" s="188">
        <v>112</v>
      </c>
      <c r="N520" s="188">
        <v>0</v>
      </c>
      <c r="O520" s="188">
        <v>0</v>
      </c>
      <c r="P520" s="193"/>
    </row>
    <row r="521" spans="9:16">
      <c r="I521" s="186" t="s">
        <v>1603</v>
      </c>
      <c r="J521" s="188">
        <v>0</v>
      </c>
      <c r="K521" s="188">
        <v>0</v>
      </c>
      <c r="L521" s="188">
        <v>17.169</v>
      </c>
      <c r="M521" s="188">
        <v>17.169</v>
      </c>
      <c r="N521" s="188">
        <v>0</v>
      </c>
      <c r="O521" s="188">
        <v>0</v>
      </c>
      <c r="P521" s="193"/>
    </row>
    <row r="522" spans="9:16">
      <c r="I522" s="186" t="s">
        <v>1604</v>
      </c>
      <c r="J522" s="188">
        <v>0</v>
      </c>
      <c r="K522" s="188">
        <v>0</v>
      </c>
      <c r="L522" s="188">
        <v>6.72</v>
      </c>
      <c r="M522" s="188">
        <v>6.72</v>
      </c>
      <c r="N522" s="188">
        <v>0</v>
      </c>
      <c r="O522" s="188">
        <v>0</v>
      </c>
      <c r="P522" s="193"/>
    </row>
    <row r="523" spans="9:16">
      <c r="I523" s="186" t="s">
        <v>1605</v>
      </c>
      <c r="J523" s="188">
        <v>0</v>
      </c>
      <c r="K523" s="188">
        <v>0</v>
      </c>
      <c r="L523" s="188">
        <v>180.8296</v>
      </c>
      <c r="M523" s="188">
        <v>180.8296</v>
      </c>
      <c r="N523" s="188">
        <v>0</v>
      </c>
      <c r="O523" s="188">
        <v>0</v>
      </c>
      <c r="P523" s="193"/>
    </row>
    <row r="524" spans="9:16">
      <c r="I524" s="186" t="s">
        <v>1606</v>
      </c>
      <c r="J524" s="188">
        <v>0</v>
      </c>
      <c r="K524" s="188">
        <v>0</v>
      </c>
      <c r="L524" s="188">
        <v>70.504000000000005</v>
      </c>
      <c r="M524" s="188">
        <v>70.504000000000005</v>
      </c>
      <c r="N524" s="188">
        <v>0</v>
      </c>
      <c r="O524" s="188">
        <v>0</v>
      </c>
      <c r="P524" s="193"/>
    </row>
    <row r="525" spans="9:16">
      <c r="I525" s="186" t="s">
        <v>1607</v>
      </c>
      <c r="J525" s="188">
        <v>0</v>
      </c>
      <c r="K525" s="188">
        <v>0</v>
      </c>
      <c r="L525" s="188">
        <v>46.4</v>
      </c>
      <c r="M525" s="188">
        <v>46.4</v>
      </c>
      <c r="N525" s="188">
        <v>0</v>
      </c>
      <c r="O525" s="188">
        <v>0</v>
      </c>
      <c r="P525" s="193"/>
    </row>
    <row r="526" spans="9:16">
      <c r="I526" s="186" t="s">
        <v>1608</v>
      </c>
      <c r="J526" s="188">
        <v>0</v>
      </c>
      <c r="K526" s="188">
        <v>0</v>
      </c>
      <c r="L526" s="188">
        <v>835.44</v>
      </c>
      <c r="M526" s="188">
        <v>835.44</v>
      </c>
      <c r="N526" s="188">
        <v>0</v>
      </c>
      <c r="O526" s="188">
        <v>0</v>
      </c>
      <c r="P526" s="193"/>
    </row>
    <row r="527" spans="9:16">
      <c r="I527" s="186" t="s">
        <v>1609</v>
      </c>
      <c r="J527" s="188">
        <v>0</v>
      </c>
      <c r="K527" s="188">
        <v>0</v>
      </c>
      <c r="L527" s="188">
        <v>3203.18415</v>
      </c>
      <c r="M527" s="188">
        <v>3203.18415</v>
      </c>
      <c r="N527" s="188">
        <v>0</v>
      </c>
      <c r="O527" s="188">
        <v>0</v>
      </c>
      <c r="P527" s="193"/>
    </row>
    <row r="528" spans="9:16">
      <c r="I528" s="186" t="s">
        <v>1610</v>
      </c>
      <c r="J528" s="188">
        <v>3200</v>
      </c>
      <c r="K528" s="188">
        <v>0</v>
      </c>
      <c r="L528" s="188">
        <v>8644.2124999999996</v>
      </c>
      <c r="M528" s="188">
        <v>8644.2124999999996</v>
      </c>
      <c r="N528" s="188">
        <v>3200</v>
      </c>
      <c r="O528" s="188">
        <v>0</v>
      </c>
      <c r="P528" s="193"/>
    </row>
    <row r="529" spans="9:16">
      <c r="I529" s="186" t="s">
        <v>1611</v>
      </c>
      <c r="J529" s="188">
        <v>0</v>
      </c>
      <c r="K529" s="188">
        <v>0</v>
      </c>
      <c r="L529" s="188">
        <v>2938.4506699999997</v>
      </c>
      <c r="M529" s="188">
        <v>2938.4506699999997</v>
      </c>
      <c r="N529" s="188">
        <v>0</v>
      </c>
      <c r="O529" s="188">
        <v>0</v>
      </c>
      <c r="P529" s="193"/>
    </row>
    <row r="530" spans="9:16">
      <c r="I530" s="186" t="s">
        <v>1612</v>
      </c>
      <c r="J530" s="188">
        <v>0</v>
      </c>
      <c r="K530" s="188">
        <v>0</v>
      </c>
      <c r="L530" s="188">
        <v>351.30959999999999</v>
      </c>
      <c r="M530" s="188">
        <v>351.30959999999999</v>
      </c>
      <c r="N530" s="188">
        <v>0</v>
      </c>
      <c r="O530" s="188">
        <v>0</v>
      </c>
      <c r="P530" s="193"/>
    </row>
    <row r="531" spans="9:16">
      <c r="I531" s="186" t="s">
        <v>1613</v>
      </c>
      <c r="J531" s="188">
        <v>0</v>
      </c>
      <c r="K531" s="188">
        <v>0</v>
      </c>
      <c r="L531" s="188">
        <v>296.67599999999999</v>
      </c>
      <c r="M531" s="188">
        <v>296.67599999999999</v>
      </c>
      <c r="N531" s="188">
        <v>0</v>
      </c>
      <c r="O531" s="188">
        <v>0</v>
      </c>
      <c r="P531" s="193"/>
    </row>
    <row r="532" spans="9:16">
      <c r="I532" s="186" t="s">
        <v>985</v>
      </c>
      <c r="J532" s="188">
        <v>239.99996999999999</v>
      </c>
      <c r="K532" s="188">
        <v>0</v>
      </c>
      <c r="L532" s="188">
        <v>0</v>
      </c>
      <c r="M532" s="188">
        <v>0</v>
      </c>
      <c r="N532" s="188">
        <v>239.99996999999999</v>
      </c>
      <c r="O532" s="188">
        <v>0</v>
      </c>
      <c r="P532" s="193"/>
    </row>
    <row r="533" spans="9:16">
      <c r="I533" s="186" t="s">
        <v>1614</v>
      </c>
      <c r="J533" s="188">
        <v>0</v>
      </c>
      <c r="K533" s="188">
        <v>0</v>
      </c>
      <c r="L533" s="188">
        <v>30</v>
      </c>
      <c r="M533" s="188">
        <v>30</v>
      </c>
      <c r="N533" s="188">
        <v>0</v>
      </c>
      <c r="O533" s="188">
        <v>0</v>
      </c>
      <c r="P533" s="193"/>
    </row>
    <row r="534" spans="9:16">
      <c r="I534" s="186" t="s">
        <v>1615</v>
      </c>
      <c r="J534" s="188">
        <v>0</v>
      </c>
      <c r="K534" s="188">
        <v>0</v>
      </c>
      <c r="L534" s="188">
        <v>15670</v>
      </c>
      <c r="M534" s="188">
        <v>15670</v>
      </c>
      <c r="N534" s="188">
        <v>0</v>
      </c>
      <c r="O534" s="188">
        <v>0</v>
      </c>
      <c r="P534" s="193"/>
    </row>
    <row r="535" spans="9:16">
      <c r="I535" s="186" t="s">
        <v>1616</v>
      </c>
      <c r="J535" s="188">
        <v>1420</v>
      </c>
      <c r="K535" s="188">
        <v>0</v>
      </c>
      <c r="L535" s="188">
        <v>0</v>
      </c>
      <c r="M535" s="188">
        <v>760</v>
      </c>
      <c r="N535" s="188">
        <v>660</v>
      </c>
      <c r="O535" s="188">
        <v>0</v>
      </c>
      <c r="P535" s="193"/>
    </row>
    <row r="536" spans="9:16">
      <c r="I536" s="186" t="s">
        <v>1617</v>
      </c>
      <c r="J536" s="188">
        <v>0</v>
      </c>
      <c r="K536" s="188">
        <v>0</v>
      </c>
      <c r="L536" s="188">
        <v>38.950000000000003</v>
      </c>
      <c r="M536" s="188">
        <v>38.950000000000003</v>
      </c>
      <c r="N536" s="188">
        <v>0</v>
      </c>
      <c r="O536" s="188">
        <v>0</v>
      </c>
      <c r="P536" s="193"/>
    </row>
    <row r="537" spans="9:16">
      <c r="I537" s="186" t="s">
        <v>1618</v>
      </c>
      <c r="J537" s="188">
        <v>0</v>
      </c>
      <c r="K537" s="188">
        <v>0</v>
      </c>
      <c r="L537" s="188">
        <v>2381.2962900000002</v>
      </c>
      <c r="M537" s="188">
        <v>2381.2962900000002</v>
      </c>
      <c r="N537" s="188">
        <v>0</v>
      </c>
      <c r="O537" s="188">
        <v>0</v>
      </c>
      <c r="P537" s="193"/>
    </row>
    <row r="538" spans="9:16">
      <c r="I538" s="186" t="s">
        <v>1619</v>
      </c>
      <c r="J538" s="188">
        <v>0</v>
      </c>
      <c r="K538" s="188">
        <v>0</v>
      </c>
      <c r="L538" s="188">
        <v>205.57499999999999</v>
      </c>
      <c r="M538" s="188">
        <v>205.57499999999999</v>
      </c>
      <c r="N538" s="188">
        <v>0</v>
      </c>
      <c r="O538" s="188">
        <v>0</v>
      </c>
      <c r="P538" s="193"/>
    </row>
    <row r="539" spans="9:16">
      <c r="I539" s="186" t="s">
        <v>1620</v>
      </c>
      <c r="J539" s="188">
        <v>0</v>
      </c>
      <c r="K539" s="188">
        <v>0</v>
      </c>
      <c r="L539" s="188">
        <v>8226.2026000000005</v>
      </c>
      <c r="M539" s="188">
        <v>7390.5195999999996</v>
      </c>
      <c r="N539" s="188">
        <v>835.68299999999999</v>
      </c>
      <c r="O539" s="188">
        <v>0</v>
      </c>
      <c r="P539" s="193"/>
    </row>
    <row r="540" spans="9:16">
      <c r="I540" s="186" t="s">
        <v>1621</v>
      </c>
      <c r="J540" s="188">
        <v>20.062799999999999</v>
      </c>
      <c r="K540" s="188">
        <v>0</v>
      </c>
      <c r="L540" s="188">
        <v>0</v>
      </c>
      <c r="M540" s="188">
        <v>0</v>
      </c>
      <c r="N540" s="188">
        <v>20.062799999999999</v>
      </c>
      <c r="O540" s="188">
        <v>0</v>
      </c>
      <c r="P540" s="193"/>
    </row>
    <row r="541" spans="9:16">
      <c r="I541" s="186" t="s">
        <v>1622</v>
      </c>
      <c r="J541" s="188">
        <v>0</v>
      </c>
      <c r="K541" s="188">
        <v>0</v>
      </c>
      <c r="L541" s="188">
        <v>523.32000000000005</v>
      </c>
      <c r="M541" s="188">
        <v>523.32000000000005</v>
      </c>
      <c r="N541" s="188">
        <v>0</v>
      </c>
      <c r="O541" s="188">
        <v>0</v>
      </c>
      <c r="P541" s="193"/>
    </row>
    <row r="542" spans="9:16">
      <c r="I542" s="186" t="s">
        <v>1623</v>
      </c>
      <c r="J542" s="188">
        <v>0</v>
      </c>
      <c r="K542" s="188">
        <v>0</v>
      </c>
      <c r="L542" s="188">
        <v>6995.3226399999994</v>
      </c>
      <c r="M542" s="188">
        <v>6802.1908700000004</v>
      </c>
      <c r="N542" s="188">
        <v>193.13176999999999</v>
      </c>
      <c r="O542" s="188">
        <v>0</v>
      </c>
      <c r="P542" s="193"/>
    </row>
    <row r="543" spans="9:16">
      <c r="I543" s="186" t="s">
        <v>1624</v>
      </c>
      <c r="J543" s="188">
        <v>0</v>
      </c>
      <c r="K543" s="188">
        <v>0</v>
      </c>
      <c r="L543" s="188">
        <v>16812.684000000001</v>
      </c>
      <c r="M543" s="188">
        <v>16812.684000000001</v>
      </c>
      <c r="N543" s="188">
        <v>0</v>
      </c>
      <c r="O543" s="188">
        <v>0</v>
      </c>
      <c r="P543" s="193"/>
    </row>
    <row r="544" spans="9:16">
      <c r="I544" s="186" t="s">
        <v>1625</v>
      </c>
      <c r="J544" s="188">
        <v>0</v>
      </c>
      <c r="K544" s="188">
        <v>0</v>
      </c>
      <c r="L544" s="188">
        <v>9076.581900000001</v>
      </c>
      <c r="M544" s="188">
        <v>9076.581900000001</v>
      </c>
      <c r="N544" s="188">
        <v>0</v>
      </c>
      <c r="O544" s="188">
        <v>0</v>
      </c>
      <c r="P544" s="193"/>
    </row>
    <row r="545" spans="9:16">
      <c r="I545" s="186" t="s">
        <v>1626</v>
      </c>
      <c r="J545" s="188">
        <v>0</v>
      </c>
      <c r="K545" s="188">
        <v>0</v>
      </c>
      <c r="L545" s="188">
        <v>209</v>
      </c>
      <c r="M545" s="188">
        <v>209</v>
      </c>
      <c r="N545" s="188">
        <v>0</v>
      </c>
      <c r="O545" s="188">
        <v>0</v>
      </c>
      <c r="P545" s="193"/>
    </row>
    <row r="546" spans="9:16">
      <c r="I546" s="186" t="s">
        <v>1627</v>
      </c>
      <c r="J546" s="188">
        <v>0</v>
      </c>
      <c r="K546" s="188">
        <v>0</v>
      </c>
      <c r="L546" s="188">
        <v>503.1</v>
      </c>
      <c r="M546" s="188">
        <v>503.1</v>
      </c>
      <c r="N546" s="188">
        <v>0</v>
      </c>
      <c r="O546" s="188">
        <v>0</v>
      </c>
      <c r="P546" s="193"/>
    </row>
    <row r="547" spans="9:16">
      <c r="I547" s="186" t="s">
        <v>1628</v>
      </c>
      <c r="J547" s="188">
        <v>0</v>
      </c>
      <c r="K547" s="188">
        <v>0</v>
      </c>
      <c r="L547" s="188">
        <v>41.649610000000003</v>
      </c>
      <c r="M547" s="188">
        <v>41.649610000000003</v>
      </c>
      <c r="N547" s="188">
        <v>0</v>
      </c>
      <c r="O547" s="188">
        <v>0</v>
      </c>
      <c r="P547" s="193"/>
    </row>
    <row r="548" spans="9:16">
      <c r="I548" s="186" t="s">
        <v>1629</v>
      </c>
      <c r="J548" s="188">
        <v>23704</v>
      </c>
      <c r="K548" s="188">
        <v>0</v>
      </c>
      <c r="L548" s="188">
        <v>0</v>
      </c>
      <c r="M548" s="188">
        <v>0</v>
      </c>
      <c r="N548" s="188">
        <v>23704</v>
      </c>
      <c r="O548" s="188">
        <v>0</v>
      </c>
      <c r="P548" s="193"/>
    </row>
    <row r="549" spans="9:16">
      <c r="I549" s="186" t="s">
        <v>1630</v>
      </c>
      <c r="J549" s="188">
        <v>0</v>
      </c>
      <c r="K549" s="188">
        <v>0</v>
      </c>
      <c r="L549" s="188">
        <v>335.98500000000001</v>
      </c>
      <c r="M549" s="188">
        <v>335.98500000000001</v>
      </c>
      <c r="N549" s="188">
        <v>0</v>
      </c>
      <c r="O549" s="188">
        <v>0</v>
      </c>
      <c r="P549" s="193"/>
    </row>
    <row r="550" spans="9:16">
      <c r="I550" s="186" t="s">
        <v>1631</v>
      </c>
      <c r="J550" s="188">
        <v>4748.8649999999998</v>
      </c>
      <c r="K550" s="188">
        <v>0</v>
      </c>
      <c r="L550" s="188">
        <v>12002.19534</v>
      </c>
      <c r="M550" s="188">
        <v>12702.19534</v>
      </c>
      <c r="N550" s="188">
        <v>4048.8649999999998</v>
      </c>
      <c r="O550" s="188">
        <v>0</v>
      </c>
      <c r="P550" s="193"/>
    </row>
    <row r="551" spans="9:16">
      <c r="I551" s="186" t="s">
        <v>1632</v>
      </c>
      <c r="J551" s="188">
        <v>0</v>
      </c>
      <c r="K551" s="188">
        <v>0</v>
      </c>
      <c r="L551" s="188">
        <v>41.31</v>
      </c>
      <c r="M551" s="188">
        <v>41.31</v>
      </c>
      <c r="N551" s="188">
        <v>0</v>
      </c>
      <c r="O551" s="188">
        <v>0</v>
      </c>
      <c r="P551" s="193"/>
    </row>
    <row r="552" spans="9:16">
      <c r="I552" s="186" t="s">
        <v>1633</v>
      </c>
      <c r="J552" s="188">
        <v>300</v>
      </c>
      <c r="K552" s="188">
        <v>0</v>
      </c>
      <c r="L552" s="188">
        <v>0</v>
      </c>
      <c r="M552" s="188">
        <v>0</v>
      </c>
      <c r="N552" s="188">
        <v>300</v>
      </c>
      <c r="O552" s="188">
        <v>0</v>
      </c>
      <c r="P552" s="193"/>
    </row>
    <row r="553" spans="9:16">
      <c r="I553" s="186" t="s">
        <v>1634</v>
      </c>
      <c r="J553" s="188">
        <v>712.4</v>
      </c>
      <c r="K553" s="188">
        <v>0</v>
      </c>
      <c r="L553" s="188">
        <v>0</v>
      </c>
      <c r="M553" s="188">
        <v>712.4</v>
      </c>
      <c r="N553" s="188">
        <v>0</v>
      </c>
      <c r="O553" s="188">
        <v>0</v>
      </c>
      <c r="P553" s="193"/>
    </row>
    <row r="554" spans="9:16">
      <c r="I554" s="186" t="s">
        <v>1635</v>
      </c>
      <c r="J554" s="188">
        <v>0</v>
      </c>
      <c r="K554" s="188">
        <v>0</v>
      </c>
      <c r="L554" s="188">
        <v>128</v>
      </c>
      <c r="M554" s="188">
        <v>128</v>
      </c>
      <c r="N554" s="188">
        <v>0</v>
      </c>
      <c r="O554" s="188">
        <v>0</v>
      </c>
      <c r="P554" s="193"/>
    </row>
    <row r="555" spans="9:16">
      <c r="I555" s="186" t="s">
        <v>1636</v>
      </c>
      <c r="J555" s="188">
        <v>0</v>
      </c>
      <c r="K555" s="188">
        <v>0</v>
      </c>
      <c r="L555" s="188">
        <v>2288.7600000000002</v>
      </c>
      <c r="M555" s="188">
        <v>2288.7600000000002</v>
      </c>
      <c r="N555" s="188">
        <v>0</v>
      </c>
      <c r="O555" s="188">
        <v>0</v>
      </c>
      <c r="P555" s="193"/>
    </row>
    <row r="556" spans="9:16">
      <c r="I556" s="186" t="s">
        <v>1637</v>
      </c>
      <c r="J556" s="188">
        <v>0</v>
      </c>
      <c r="K556" s="188">
        <v>0</v>
      </c>
      <c r="L556" s="188">
        <v>3917.826</v>
      </c>
      <c r="M556" s="188">
        <v>3917.826</v>
      </c>
      <c r="N556" s="188">
        <v>0</v>
      </c>
      <c r="O556" s="188">
        <v>0</v>
      </c>
      <c r="P556" s="193"/>
    </row>
    <row r="557" spans="9:16">
      <c r="I557" s="186" t="s">
        <v>1638</v>
      </c>
      <c r="J557" s="188">
        <v>0</v>
      </c>
      <c r="K557" s="188">
        <v>0</v>
      </c>
      <c r="L557" s="188">
        <v>11425.67496</v>
      </c>
      <c r="M557" s="188">
        <v>11425.67496</v>
      </c>
      <c r="N557" s="188">
        <v>0</v>
      </c>
      <c r="O557" s="188">
        <v>0</v>
      </c>
      <c r="P557" s="193"/>
    </row>
    <row r="558" spans="9:16">
      <c r="I558" s="186" t="s">
        <v>1004</v>
      </c>
      <c r="J558" s="188">
        <v>0</v>
      </c>
      <c r="K558" s="188">
        <v>0</v>
      </c>
      <c r="L558" s="188">
        <v>10.7744</v>
      </c>
      <c r="M558" s="188">
        <v>10.7744</v>
      </c>
      <c r="N558" s="188">
        <v>0</v>
      </c>
      <c r="O558" s="188">
        <v>0</v>
      </c>
      <c r="P558" s="193"/>
    </row>
    <row r="559" spans="9:16">
      <c r="I559" s="186" t="s">
        <v>1639</v>
      </c>
      <c r="J559" s="188">
        <v>571</v>
      </c>
      <c r="K559" s="188">
        <v>0</v>
      </c>
      <c r="L559" s="188">
        <v>3004.1849999999999</v>
      </c>
      <c r="M559" s="188">
        <v>2981.1849999999999</v>
      </c>
      <c r="N559" s="188">
        <v>594</v>
      </c>
      <c r="O559" s="188">
        <v>0</v>
      </c>
      <c r="P559" s="193"/>
    </row>
    <row r="560" spans="9:16">
      <c r="I560" s="186" t="s">
        <v>1640</v>
      </c>
      <c r="J560" s="188">
        <v>0</v>
      </c>
      <c r="K560" s="188">
        <v>0</v>
      </c>
      <c r="L560" s="188">
        <v>414</v>
      </c>
      <c r="M560" s="188">
        <v>414</v>
      </c>
      <c r="N560" s="188">
        <v>0</v>
      </c>
      <c r="O560" s="188">
        <v>0</v>
      </c>
      <c r="P560" s="193"/>
    </row>
    <row r="561" spans="9:16">
      <c r="I561" s="186" t="s">
        <v>1641</v>
      </c>
      <c r="J561" s="188">
        <v>625.98</v>
      </c>
      <c r="K561" s="188">
        <v>0</v>
      </c>
      <c r="L561" s="188">
        <v>2441.86</v>
      </c>
      <c r="M561" s="188">
        <v>2433.86</v>
      </c>
      <c r="N561" s="188">
        <v>633.98</v>
      </c>
      <c r="O561" s="188">
        <v>0</v>
      </c>
      <c r="P561" s="193"/>
    </row>
    <row r="562" spans="9:16">
      <c r="I562" s="186" t="s">
        <v>1642</v>
      </c>
      <c r="J562" s="188">
        <v>0</v>
      </c>
      <c r="K562" s="188">
        <v>0</v>
      </c>
      <c r="L562" s="188">
        <v>32735.62657</v>
      </c>
      <c r="M562" s="188">
        <v>32735.62657</v>
      </c>
      <c r="N562" s="188">
        <v>0</v>
      </c>
      <c r="O562" s="188">
        <v>0</v>
      </c>
      <c r="P562" s="193"/>
    </row>
    <row r="563" spans="9:16">
      <c r="I563" s="186" t="s">
        <v>1643</v>
      </c>
      <c r="J563" s="188">
        <v>0</v>
      </c>
      <c r="K563" s="188">
        <v>0</v>
      </c>
      <c r="L563" s="188">
        <v>1120.2</v>
      </c>
      <c r="M563" s="188">
        <v>1120.2</v>
      </c>
      <c r="N563" s="188">
        <v>0</v>
      </c>
      <c r="O563" s="188">
        <v>0</v>
      </c>
      <c r="P563" s="193"/>
    </row>
    <row r="564" spans="9:16">
      <c r="I564" s="186" t="s">
        <v>1644</v>
      </c>
      <c r="J564" s="188">
        <v>281.45</v>
      </c>
      <c r="K564" s="188">
        <v>0</v>
      </c>
      <c r="L564" s="188">
        <v>4567.8900000000003</v>
      </c>
      <c r="M564" s="188">
        <v>3491.44</v>
      </c>
      <c r="N564" s="188">
        <v>1357.9</v>
      </c>
      <c r="O564" s="188">
        <v>0</v>
      </c>
      <c r="P564" s="193"/>
    </row>
    <row r="565" spans="9:16">
      <c r="I565" s="186" t="s">
        <v>1645</v>
      </c>
      <c r="J565" s="188">
        <v>0</v>
      </c>
      <c r="K565" s="188">
        <v>0</v>
      </c>
      <c r="L565" s="188">
        <v>50827.01066</v>
      </c>
      <c r="M565" s="188">
        <v>50827.01066</v>
      </c>
      <c r="N565" s="188">
        <v>0</v>
      </c>
      <c r="O565" s="188">
        <v>0</v>
      </c>
      <c r="P565" s="193"/>
    </row>
    <row r="566" spans="9:16">
      <c r="I566" s="186" t="s">
        <v>1646</v>
      </c>
      <c r="J566" s="188">
        <v>0</v>
      </c>
      <c r="K566" s="188">
        <v>0</v>
      </c>
      <c r="L566" s="188">
        <v>114.4</v>
      </c>
      <c r="M566" s="188">
        <v>0</v>
      </c>
      <c r="N566" s="188">
        <v>114.4</v>
      </c>
      <c r="O566" s="188">
        <v>0</v>
      </c>
      <c r="P566" s="193"/>
    </row>
    <row r="567" spans="9:16">
      <c r="I567" s="186" t="s">
        <v>1647</v>
      </c>
      <c r="J567" s="188">
        <v>0</v>
      </c>
      <c r="K567" s="188">
        <v>0</v>
      </c>
      <c r="L567" s="188">
        <v>4838.2673199999999</v>
      </c>
      <c r="M567" s="188">
        <v>4838.2673199999999</v>
      </c>
      <c r="N567" s="188">
        <v>0</v>
      </c>
      <c r="O567" s="188">
        <v>0</v>
      </c>
      <c r="P567" s="193"/>
    </row>
    <row r="568" spans="9:16">
      <c r="I568" s="186" t="s">
        <v>1648</v>
      </c>
      <c r="J568" s="188">
        <v>0</v>
      </c>
      <c r="K568" s="188">
        <v>0</v>
      </c>
      <c r="L568" s="188">
        <v>588</v>
      </c>
      <c r="M568" s="188">
        <v>396</v>
      </c>
      <c r="N568" s="188">
        <v>192</v>
      </c>
      <c r="O568" s="188">
        <v>0</v>
      </c>
      <c r="P568" s="193"/>
    </row>
    <row r="569" spans="9:16">
      <c r="I569" s="186" t="s">
        <v>1649</v>
      </c>
      <c r="J569" s="188">
        <v>48.65</v>
      </c>
      <c r="K569" s="188">
        <v>0</v>
      </c>
      <c r="L569" s="188">
        <v>0</v>
      </c>
      <c r="M569" s="188">
        <v>0</v>
      </c>
      <c r="N569" s="188">
        <v>48.65</v>
      </c>
      <c r="O569" s="188">
        <v>0</v>
      </c>
      <c r="P569" s="193"/>
    </row>
    <row r="570" spans="9:16">
      <c r="I570" s="186" t="s">
        <v>1650</v>
      </c>
      <c r="J570" s="188">
        <v>0</v>
      </c>
      <c r="K570" s="188">
        <v>0</v>
      </c>
      <c r="L570" s="188">
        <v>2682.4</v>
      </c>
      <c r="M570" s="188">
        <v>2682.4</v>
      </c>
      <c r="N570" s="188">
        <v>0</v>
      </c>
      <c r="O570" s="188">
        <v>0</v>
      </c>
      <c r="P570" s="193"/>
    </row>
    <row r="571" spans="9:16">
      <c r="I571" s="186" t="s">
        <v>1651</v>
      </c>
      <c r="J571" s="188">
        <v>0</v>
      </c>
      <c r="K571" s="188">
        <v>0</v>
      </c>
      <c r="L571" s="188">
        <v>1108.8</v>
      </c>
      <c r="M571" s="188">
        <v>1108.8</v>
      </c>
      <c r="N571" s="188">
        <v>0</v>
      </c>
      <c r="O571" s="188">
        <v>0</v>
      </c>
      <c r="P571" s="193"/>
    </row>
    <row r="572" spans="9:16">
      <c r="I572" s="186" t="s">
        <v>1652</v>
      </c>
      <c r="J572" s="188">
        <v>0</v>
      </c>
      <c r="K572" s="188">
        <v>0</v>
      </c>
      <c r="L572" s="188">
        <v>4847.2710299999999</v>
      </c>
      <c r="M572" s="188">
        <v>4847.2710299999999</v>
      </c>
      <c r="N572" s="188">
        <v>0</v>
      </c>
      <c r="O572" s="188">
        <v>0</v>
      </c>
      <c r="P572" s="193"/>
    </row>
    <row r="573" spans="9:16">
      <c r="I573" s="186" t="s">
        <v>1653</v>
      </c>
      <c r="J573" s="188">
        <v>0</v>
      </c>
      <c r="K573" s="188">
        <v>0</v>
      </c>
      <c r="L573" s="188">
        <v>592794.64059000008</v>
      </c>
      <c r="M573" s="188">
        <v>592794.64059000008</v>
      </c>
      <c r="N573" s="188">
        <v>0</v>
      </c>
      <c r="O573" s="188">
        <v>0</v>
      </c>
      <c r="P573" s="193"/>
    </row>
    <row r="574" spans="9:16">
      <c r="I574" s="186" t="s">
        <v>1654</v>
      </c>
      <c r="J574" s="188">
        <v>1242.6024</v>
      </c>
      <c r="K574" s="188">
        <v>0</v>
      </c>
      <c r="L574" s="188">
        <v>0</v>
      </c>
      <c r="M574" s="188">
        <v>0</v>
      </c>
      <c r="N574" s="188">
        <v>1242.6024</v>
      </c>
      <c r="O574" s="188">
        <v>0</v>
      </c>
      <c r="P574" s="193"/>
    </row>
    <row r="575" spans="9:16">
      <c r="I575" s="186" t="s">
        <v>1655</v>
      </c>
      <c r="J575" s="188">
        <v>89.6</v>
      </c>
      <c r="K575" s="188">
        <v>0</v>
      </c>
      <c r="L575" s="188">
        <v>334.4</v>
      </c>
      <c r="M575" s="188">
        <v>334.4</v>
      </c>
      <c r="N575" s="188">
        <v>89.6</v>
      </c>
      <c r="O575" s="188">
        <v>0</v>
      </c>
      <c r="P575" s="193"/>
    </row>
    <row r="576" spans="9:16">
      <c r="I576" s="186" t="s">
        <v>1656</v>
      </c>
      <c r="J576" s="188">
        <v>0</v>
      </c>
      <c r="K576" s="188">
        <v>0</v>
      </c>
      <c r="L576" s="188">
        <v>344</v>
      </c>
      <c r="M576" s="188">
        <v>124</v>
      </c>
      <c r="N576" s="188">
        <v>220</v>
      </c>
      <c r="O576" s="188">
        <v>0</v>
      </c>
      <c r="P576" s="193"/>
    </row>
    <row r="577" spans="9:16">
      <c r="I577" s="186" t="s">
        <v>1657</v>
      </c>
      <c r="J577" s="188">
        <v>0</v>
      </c>
      <c r="K577" s="188">
        <v>0</v>
      </c>
      <c r="L577" s="188">
        <v>25096.140600000002</v>
      </c>
      <c r="M577" s="188">
        <v>25096.140600000002</v>
      </c>
      <c r="N577" s="188">
        <v>0</v>
      </c>
      <c r="O577" s="188">
        <v>0</v>
      </c>
      <c r="P577" s="193"/>
    </row>
    <row r="578" spans="9:16">
      <c r="I578" s="186" t="s">
        <v>1658</v>
      </c>
      <c r="J578" s="188">
        <v>0</v>
      </c>
      <c r="K578" s="188">
        <v>0</v>
      </c>
      <c r="L578" s="188">
        <v>29062</v>
      </c>
      <c r="M578" s="188">
        <v>29062</v>
      </c>
      <c r="N578" s="188">
        <v>0</v>
      </c>
      <c r="O578" s="188">
        <v>0</v>
      </c>
      <c r="P578" s="193"/>
    </row>
    <row r="579" spans="9:16">
      <c r="I579" s="186" t="s">
        <v>1659</v>
      </c>
      <c r="J579" s="188">
        <v>0</v>
      </c>
      <c r="K579" s="188">
        <v>0</v>
      </c>
      <c r="L579" s="188">
        <v>540.5865</v>
      </c>
      <c r="M579" s="188">
        <v>540.5865</v>
      </c>
      <c r="N579" s="188">
        <v>0</v>
      </c>
      <c r="O579" s="188">
        <v>0</v>
      </c>
      <c r="P579" s="193"/>
    </row>
    <row r="580" spans="9:16">
      <c r="I580" s="186" t="s">
        <v>1660</v>
      </c>
      <c r="J580" s="188">
        <v>0</v>
      </c>
      <c r="K580" s="188">
        <v>0</v>
      </c>
      <c r="L580" s="188">
        <v>22</v>
      </c>
      <c r="M580" s="188">
        <v>22</v>
      </c>
      <c r="N580" s="188">
        <v>0</v>
      </c>
      <c r="O580" s="188">
        <v>0</v>
      </c>
      <c r="P580" s="193"/>
    </row>
    <row r="581" spans="9:16">
      <c r="I581" s="186" t="s">
        <v>1661</v>
      </c>
      <c r="J581" s="188">
        <v>0</v>
      </c>
      <c r="K581" s="188">
        <v>0</v>
      </c>
      <c r="L581" s="188">
        <v>298538.79055000003</v>
      </c>
      <c r="M581" s="188">
        <v>298538.79055000003</v>
      </c>
      <c r="N581" s="188">
        <v>0</v>
      </c>
      <c r="O581" s="188">
        <v>0</v>
      </c>
      <c r="P581" s="193"/>
    </row>
    <row r="582" spans="9:16">
      <c r="I582" s="186" t="s">
        <v>1662</v>
      </c>
      <c r="J582" s="188">
        <v>0</v>
      </c>
      <c r="K582" s="188">
        <v>0</v>
      </c>
      <c r="L582" s="188">
        <v>725.08</v>
      </c>
      <c r="M582" s="188">
        <v>725.08</v>
      </c>
      <c r="N582" s="188">
        <v>0</v>
      </c>
      <c r="O582" s="188">
        <v>0</v>
      </c>
      <c r="P582" s="193"/>
    </row>
    <row r="583" spans="9:16">
      <c r="I583" s="186" t="s">
        <v>1663</v>
      </c>
      <c r="J583" s="188">
        <v>0</v>
      </c>
      <c r="K583" s="188">
        <v>0</v>
      </c>
      <c r="L583" s="188">
        <v>40</v>
      </c>
      <c r="M583" s="188">
        <v>40</v>
      </c>
      <c r="N583" s="188">
        <v>0</v>
      </c>
      <c r="O583" s="188">
        <v>0</v>
      </c>
      <c r="P583" s="193"/>
    </row>
    <row r="584" spans="9:16">
      <c r="I584" s="186" t="s">
        <v>1664</v>
      </c>
      <c r="J584" s="188">
        <v>12000</v>
      </c>
      <c r="K584" s="188">
        <v>0</v>
      </c>
      <c r="L584" s="188">
        <v>20755</v>
      </c>
      <c r="M584" s="188">
        <v>32735</v>
      </c>
      <c r="N584" s="188">
        <v>20</v>
      </c>
      <c r="O584" s="188">
        <v>0</v>
      </c>
      <c r="P584" s="193"/>
    </row>
    <row r="585" spans="9:16">
      <c r="I585" s="186" t="s">
        <v>1012</v>
      </c>
      <c r="J585" s="188">
        <v>0</v>
      </c>
      <c r="K585" s="188">
        <v>0</v>
      </c>
      <c r="L585" s="188">
        <v>1669.5</v>
      </c>
      <c r="M585" s="188">
        <v>1669.5</v>
      </c>
      <c r="N585" s="188">
        <v>0</v>
      </c>
      <c r="O585" s="188">
        <v>0</v>
      </c>
      <c r="P585" s="193"/>
    </row>
    <row r="586" spans="9:16">
      <c r="I586" s="186" t="s">
        <v>1665</v>
      </c>
      <c r="J586" s="188">
        <v>0</v>
      </c>
      <c r="K586" s="188">
        <v>0</v>
      </c>
      <c r="L586" s="188">
        <v>2650.25909</v>
      </c>
      <c r="M586" s="188">
        <v>2650.25909</v>
      </c>
      <c r="N586" s="188">
        <v>0</v>
      </c>
      <c r="O586" s="188">
        <v>0</v>
      </c>
      <c r="P586" s="193"/>
    </row>
    <row r="587" spans="9:16">
      <c r="I587" s="186" t="s">
        <v>1666</v>
      </c>
      <c r="J587" s="188">
        <v>443.3</v>
      </c>
      <c r="K587" s="188">
        <v>0</v>
      </c>
      <c r="L587" s="188">
        <v>443.3</v>
      </c>
      <c r="M587" s="188">
        <v>443.3</v>
      </c>
      <c r="N587" s="188">
        <v>443.3</v>
      </c>
      <c r="O587" s="188">
        <v>0</v>
      </c>
      <c r="P587" s="193"/>
    </row>
    <row r="588" spans="9:16">
      <c r="I588" s="186" t="s">
        <v>1667</v>
      </c>
      <c r="J588" s="188">
        <v>22.204999999999998</v>
      </c>
      <c r="K588" s="188">
        <v>0</v>
      </c>
      <c r="L588" s="188">
        <v>0</v>
      </c>
      <c r="M588" s="188">
        <v>0</v>
      </c>
      <c r="N588" s="188">
        <v>22.204999999999998</v>
      </c>
      <c r="O588" s="188">
        <v>0</v>
      </c>
      <c r="P588" s="193"/>
    </row>
    <row r="589" spans="9:16">
      <c r="I589" s="186" t="s">
        <v>1668</v>
      </c>
      <c r="J589" s="188">
        <v>0</v>
      </c>
      <c r="K589" s="188">
        <v>0</v>
      </c>
      <c r="L589" s="188">
        <v>4574.18</v>
      </c>
      <c r="M589" s="188">
        <v>4574.18</v>
      </c>
      <c r="N589" s="188">
        <v>0</v>
      </c>
      <c r="O589" s="188">
        <v>0</v>
      </c>
      <c r="P589" s="193"/>
    </row>
    <row r="590" spans="9:16">
      <c r="I590" s="186" t="s">
        <v>1669</v>
      </c>
      <c r="J590" s="188">
        <v>1.1345000000000001</v>
      </c>
      <c r="K590" s="188">
        <v>0</v>
      </c>
      <c r="L590" s="188">
        <v>0</v>
      </c>
      <c r="M590" s="188">
        <v>1.1345000000000001</v>
      </c>
      <c r="N590" s="188">
        <v>0</v>
      </c>
      <c r="O590" s="188">
        <v>0</v>
      </c>
      <c r="P590" s="193"/>
    </row>
    <row r="591" spans="9:16">
      <c r="I591" s="186" t="s">
        <v>1670</v>
      </c>
      <c r="J591" s="188">
        <v>0</v>
      </c>
      <c r="K591" s="188">
        <v>0</v>
      </c>
      <c r="L591" s="188">
        <v>205.4</v>
      </c>
      <c r="M591" s="188">
        <v>205.4</v>
      </c>
      <c r="N591" s="188">
        <v>0</v>
      </c>
      <c r="O591" s="188">
        <v>0</v>
      </c>
      <c r="P591" s="193"/>
    </row>
    <row r="592" spans="9:16">
      <c r="I592" s="186" t="s">
        <v>1671</v>
      </c>
      <c r="J592" s="188">
        <v>0</v>
      </c>
      <c r="K592" s="188">
        <v>0</v>
      </c>
      <c r="L592" s="188">
        <v>1500</v>
      </c>
      <c r="M592" s="188">
        <v>1500</v>
      </c>
      <c r="N592" s="188">
        <v>0</v>
      </c>
      <c r="O592" s="188">
        <v>0</v>
      </c>
      <c r="P592" s="193"/>
    </row>
    <row r="593" spans="9:16">
      <c r="I593" s="186" t="s">
        <v>1016</v>
      </c>
      <c r="J593" s="188">
        <v>0</v>
      </c>
      <c r="K593" s="188">
        <v>0</v>
      </c>
      <c r="L593" s="188">
        <v>204</v>
      </c>
      <c r="M593" s="188">
        <v>0</v>
      </c>
      <c r="N593" s="188">
        <v>204</v>
      </c>
      <c r="O593" s="188">
        <v>0</v>
      </c>
      <c r="P593" s="193"/>
    </row>
    <row r="594" spans="9:16">
      <c r="I594" s="186" t="s">
        <v>1672</v>
      </c>
      <c r="J594" s="188">
        <v>0</v>
      </c>
      <c r="K594" s="188">
        <v>0</v>
      </c>
      <c r="L594" s="188">
        <v>706.98400000000004</v>
      </c>
      <c r="M594" s="188">
        <v>706.98400000000004</v>
      </c>
      <c r="N594" s="188">
        <v>0</v>
      </c>
      <c r="O594" s="188">
        <v>0</v>
      </c>
      <c r="P594" s="193"/>
    </row>
    <row r="595" spans="9:16">
      <c r="I595" s="186" t="s">
        <v>1673</v>
      </c>
      <c r="J595" s="188">
        <v>0</v>
      </c>
      <c r="K595" s="188">
        <v>0</v>
      </c>
      <c r="L595" s="188">
        <v>3668.3584000000001</v>
      </c>
      <c r="M595" s="188">
        <v>3668.3584000000001</v>
      </c>
      <c r="N595" s="188">
        <v>0</v>
      </c>
      <c r="O595" s="188">
        <v>0</v>
      </c>
      <c r="P595" s="193"/>
    </row>
    <row r="596" spans="9:16">
      <c r="I596" s="186" t="s">
        <v>1674</v>
      </c>
      <c r="J596" s="188">
        <v>0</v>
      </c>
      <c r="K596" s="188">
        <v>0</v>
      </c>
      <c r="L596" s="188">
        <v>147</v>
      </c>
      <c r="M596" s="188">
        <v>147</v>
      </c>
      <c r="N596" s="188">
        <v>0</v>
      </c>
      <c r="O596" s="188">
        <v>0</v>
      </c>
      <c r="P596" s="193"/>
    </row>
    <row r="597" spans="9:16">
      <c r="I597" s="186" t="s">
        <v>1675</v>
      </c>
      <c r="J597" s="188">
        <v>3887.7786099999998</v>
      </c>
      <c r="K597" s="188">
        <v>0</v>
      </c>
      <c r="L597" s="188">
        <v>76696.226079999993</v>
      </c>
      <c r="M597" s="188">
        <v>80584.004690000002</v>
      </c>
      <c r="N597" s="188">
        <v>0</v>
      </c>
      <c r="O597" s="188">
        <v>0</v>
      </c>
      <c r="P597" s="193"/>
    </row>
    <row r="598" spans="9:16">
      <c r="I598" s="186" t="s">
        <v>1676</v>
      </c>
      <c r="J598" s="188">
        <v>13500</v>
      </c>
      <c r="K598" s="188">
        <v>0</v>
      </c>
      <c r="L598" s="188">
        <v>0</v>
      </c>
      <c r="M598" s="188">
        <v>13500</v>
      </c>
      <c r="N598" s="188">
        <v>0</v>
      </c>
      <c r="O598" s="188">
        <v>0</v>
      </c>
      <c r="P598" s="193"/>
    </row>
    <row r="599" spans="9:16">
      <c r="I599" s="186" t="s">
        <v>1677</v>
      </c>
      <c r="J599" s="188">
        <v>372</v>
      </c>
      <c r="K599" s="188">
        <v>0</v>
      </c>
      <c r="L599" s="188">
        <v>0</v>
      </c>
      <c r="M599" s="188">
        <v>372</v>
      </c>
      <c r="N599" s="188">
        <v>0</v>
      </c>
      <c r="O599" s="188">
        <v>0</v>
      </c>
      <c r="P599" s="193"/>
    </row>
    <row r="600" spans="9:16">
      <c r="I600" s="186" t="s">
        <v>1678</v>
      </c>
      <c r="J600" s="188">
        <v>0</v>
      </c>
      <c r="K600" s="188">
        <v>0</v>
      </c>
      <c r="L600" s="188">
        <v>248.4</v>
      </c>
      <c r="M600" s="188">
        <v>248.4</v>
      </c>
      <c r="N600" s="188">
        <v>0</v>
      </c>
      <c r="O600" s="188">
        <v>0</v>
      </c>
      <c r="P600" s="193"/>
    </row>
    <row r="601" spans="9:16">
      <c r="I601" s="186" t="s">
        <v>1679</v>
      </c>
      <c r="J601" s="188">
        <v>4443.38195</v>
      </c>
      <c r="K601" s="188">
        <v>0</v>
      </c>
      <c r="L601" s="188">
        <v>25456.4954</v>
      </c>
      <c r="M601" s="188">
        <v>29895.127350000002</v>
      </c>
      <c r="N601" s="188">
        <v>4.75</v>
      </c>
      <c r="O601" s="188">
        <v>0</v>
      </c>
      <c r="P601" s="193"/>
    </row>
    <row r="602" spans="9:16">
      <c r="I602" s="186" t="s">
        <v>1680</v>
      </c>
      <c r="J602" s="188">
        <v>0</v>
      </c>
      <c r="K602" s="188">
        <v>0</v>
      </c>
      <c r="L602" s="188">
        <v>44.2</v>
      </c>
      <c r="M602" s="188">
        <v>44.2</v>
      </c>
      <c r="N602" s="188">
        <v>0</v>
      </c>
      <c r="O602" s="188">
        <v>0</v>
      </c>
      <c r="P602" s="193"/>
    </row>
    <row r="603" spans="9:16">
      <c r="I603" s="186" t="s">
        <v>1681</v>
      </c>
      <c r="J603" s="188">
        <v>0</v>
      </c>
      <c r="K603" s="188">
        <v>0</v>
      </c>
      <c r="L603" s="188">
        <v>790</v>
      </c>
      <c r="M603" s="188">
        <v>790</v>
      </c>
      <c r="N603" s="188">
        <v>0</v>
      </c>
      <c r="O603" s="188">
        <v>0</v>
      </c>
      <c r="P603" s="193"/>
    </row>
    <row r="604" spans="9:16">
      <c r="I604" s="186" t="s">
        <v>1682</v>
      </c>
      <c r="J604" s="188">
        <v>0</v>
      </c>
      <c r="K604" s="188">
        <v>0</v>
      </c>
      <c r="L604" s="188">
        <v>13614.771500000001</v>
      </c>
      <c r="M604" s="188">
        <v>13614.771500000001</v>
      </c>
      <c r="N604" s="188">
        <v>0</v>
      </c>
      <c r="O604" s="188">
        <v>0</v>
      </c>
      <c r="P604" s="193"/>
    </row>
    <row r="605" spans="9:16">
      <c r="I605" s="186" t="s">
        <v>1683</v>
      </c>
      <c r="J605" s="188">
        <v>0</v>
      </c>
      <c r="K605" s="188">
        <v>0</v>
      </c>
      <c r="L605" s="188">
        <v>15</v>
      </c>
      <c r="M605" s="188">
        <v>15</v>
      </c>
      <c r="N605" s="188">
        <v>0</v>
      </c>
      <c r="O605" s="188">
        <v>0</v>
      </c>
      <c r="P605" s="193"/>
    </row>
    <row r="606" spans="9:16">
      <c r="I606" s="186" t="s">
        <v>1684</v>
      </c>
      <c r="J606" s="188">
        <v>0</v>
      </c>
      <c r="K606" s="188">
        <v>0</v>
      </c>
      <c r="L606" s="188">
        <v>3121.875</v>
      </c>
      <c r="M606" s="188">
        <v>3121.875</v>
      </c>
      <c r="N606" s="188">
        <v>0</v>
      </c>
      <c r="O606" s="188">
        <v>0</v>
      </c>
      <c r="P606" s="193"/>
    </row>
    <row r="607" spans="9:16">
      <c r="I607" s="186" t="s">
        <v>1685</v>
      </c>
      <c r="J607" s="188">
        <v>0</v>
      </c>
      <c r="K607" s="188">
        <v>0</v>
      </c>
      <c r="L607" s="188">
        <v>427.5</v>
      </c>
      <c r="M607" s="188">
        <v>427.5</v>
      </c>
      <c r="N607" s="188">
        <v>0</v>
      </c>
      <c r="O607" s="188">
        <v>0</v>
      </c>
      <c r="P607" s="193"/>
    </row>
    <row r="608" spans="9:16">
      <c r="I608" s="186" t="s">
        <v>1686</v>
      </c>
      <c r="J608" s="188">
        <v>0</v>
      </c>
      <c r="K608" s="188">
        <v>0</v>
      </c>
      <c r="L608" s="188">
        <v>280</v>
      </c>
      <c r="M608" s="188">
        <v>280</v>
      </c>
      <c r="N608" s="188">
        <v>0</v>
      </c>
      <c r="O608" s="188">
        <v>0</v>
      </c>
      <c r="P608" s="193"/>
    </row>
    <row r="609" spans="9:16">
      <c r="I609" s="186" t="s">
        <v>1687</v>
      </c>
      <c r="J609" s="188">
        <v>0</v>
      </c>
      <c r="K609" s="188">
        <v>0</v>
      </c>
      <c r="L609" s="188">
        <v>122.8</v>
      </c>
      <c r="M609" s="188">
        <v>122.8</v>
      </c>
      <c r="N609" s="188">
        <v>0</v>
      </c>
      <c r="O609" s="188">
        <v>0</v>
      </c>
      <c r="P609" s="193"/>
    </row>
    <row r="610" spans="9:16">
      <c r="I610" s="186" t="s">
        <v>1688</v>
      </c>
      <c r="J610" s="188">
        <v>1500</v>
      </c>
      <c r="K610" s="188">
        <v>0</v>
      </c>
      <c r="L610" s="188">
        <v>1750</v>
      </c>
      <c r="M610" s="188">
        <v>1500</v>
      </c>
      <c r="N610" s="188">
        <v>1750</v>
      </c>
      <c r="O610" s="188">
        <v>0</v>
      </c>
      <c r="P610" s="193"/>
    </row>
    <row r="611" spans="9:16">
      <c r="I611" s="186" t="s">
        <v>1689</v>
      </c>
      <c r="J611" s="188">
        <v>0</v>
      </c>
      <c r="K611" s="188">
        <v>0</v>
      </c>
      <c r="L611" s="188">
        <v>6420</v>
      </c>
      <c r="M611" s="188">
        <v>3210</v>
      </c>
      <c r="N611" s="197">
        <v>3210</v>
      </c>
      <c r="O611" s="188">
        <v>0</v>
      </c>
      <c r="P611" s="193"/>
    </row>
    <row r="612" spans="9:16">
      <c r="I612" s="186" t="s">
        <v>1690</v>
      </c>
      <c r="J612" s="188">
        <v>3531</v>
      </c>
      <c r="K612" s="188">
        <v>0</v>
      </c>
      <c r="L612" s="188">
        <v>2530</v>
      </c>
      <c r="M612" s="188">
        <v>0</v>
      </c>
      <c r="N612" s="188">
        <v>6061</v>
      </c>
      <c r="O612" s="188">
        <v>0</v>
      </c>
      <c r="P612" s="193"/>
    </row>
    <row r="613" spans="9:16">
      <c r="I613" s="186" t="s">
        <v>1691</v>
      </c>
      <c r="J613" s="188">
        <v>0</v>
      </c>
      <c r="K613" s="188">
        <v>0</v>
      </c>
      <c r="L613" s="188">
        <v>24874.337749999999</v>
      </c>
      <c r="M613" s="188">
        <v>24874.337749999999</v>
      </c>
      <c r="N613" s="188">
        <v>0</v>
      </c>
      <c r="O613" s="188">
        <v>0</v>
      </c>
      <c r="P613" s="193"/>
    </row>
    <row r="614" spans="9:16">
      <c r="I614" s="186" t="s">
        <v>1692</v>
      </c>
      <c r="J614" s="188">
        <v>0</v>
      </c>
      <c r="K614" s="188">
        <v>0</v>
      </c>
      <c r="L614" s="188">
        <v>2232.0728199999999</v>
      </c>
      <c r="M614" s="188">
        <v>2232.0728199999999</v>
      </c>
      <c r="N614" s="188">
        <v>0</v>
      </c>
      <c r="O614" s="188">
        <v>0</v>
      </c>
      <c r="P614" s="193"/>
    </row>
    <row r="615" spans="9:16">
      <c r="I615" s="186" t="s">
        <v>1693</v>
      </c>
      <c r="J615" s="188">
        <v>0</v>
      </c>
      <c r="K615" s="188">
        <v>0</v>
      </c>
      <c r="L615" s="188">
        <v>1007.9185</v>
      </c>
      <c r="M615" s="188">
        <v>1007.9185</v>
      </c>
      <c r="N615" s="188">
        <v>0</v>
      </c>
      <c r="O615" s="188">
        <v>0</v>
      </c>
      <c r="P615" s="193"/>
    </row>
    <row r="616" spans="9:16">
      <c r="I616" s="186" t="s">
        <v>1694</v>
      </c>
      <c r="J616" s="188">
        <v>60.258029999999998</v>
      </c>
      <c r="K616" s="188">
        <v>0</v>
      </c>
      <c r="L616" s="188">
        <v>0</v>
      </c>
      <c r="M616" s="188">
        <v>0</v>
      </c>
      <c r="N616" s="188">
        <v>60.258029999999998</v>
      </c>
      <c r="O616" s="188">
        <v>0</v>
      </c>
      <c r="P616" s="193"/>
    </row>
    <row r="617" spans="9:16">
      <c r="I617" s="186" t="s">
        <v>1695</v>
      </c>
      <c r="J617" s="188">
        <v>0</v>
      </c>
      <c r="K617" s="188">
        <v>0</v>
      </c>
      <c r="L617" s="188">
        <v>7.13</v>
      </c>
      <c r="M617" s="188">
        <v>7.13</v>
      </c>
      <c r="N617" s="188">
        <v>0</v>
      </c>
      <c r="O617" s="188">
        <v>0</v>
      </c>
      <c r="P617" s="193"/>
    </row>
    <row r="618" spans="9:16">
      <c r="I618" s="186" t="s">
        <v>1696</v>
      </c>
      <c r="J618" s="188">
        <v>15689.275</v>
      </c>
      <c r="K618" s="188">
        <v>0</v>
      </c>
      <c r="L618" s="188">
        <v>17423.331050000001</v>
      </c>
      <c r="M618" s="188">
        <v>14323.331050000001</v>
      </c>
      <c r="N618" s="188">
        <v>18789.275000000001</v>
      </c>
      <c r="O618" s="188">
        <v>0</v>
      </c>
      <c r="P618" s="193"/>
    </row>
    <row r="619" spans="9:16">
      <c r="I619" s="186" t="s">
        <v>1697</v>
      </c>
      <c r="J619" s="188">
        <v>0</v>
      </c>
      <c r="K619" s="188">
        <v>0</v>
      </c>
      <c r="L619" s="188">
        <v>415</v>
      </c>
      <c r="M619" s="188">
        <v>415</v>
      </c>
      <c r="N619" s="188">
        <v>0</v>
      </c>
      <c r="O619" s="188">
        <v>0</v>
      </c>
      <c r="P619" s="193"/>
    </row>
    <row r="620" spans="9:16">
      <c r="I620" s="186" t="s">
        <v>1698</v>
      </c>
      <c r="J620" s="188">
        <v>0</v>
      </c>
      <c r="K620" s="188">
        <v>0</v>
      </c>
      <c r="L620" s="188">
        <v>429.40540999999996</v>
      </c>
      <c r="M620" s="188">
        <v>429.34540999999996</v>
      </c>
      <c r="N620" s="188">
        <v>0.06</v>
      </c>
      <c r="O620" s="188">
        <v>0</v>
      </c>
      <c r="P620" s="193"/>
    </row>
    <row r="621" spans="9:16">
      <c r="I621" s="186" t="s">
        <v>1699</v>
      </c>
      <c r="J621" s="188">
        <v>0</v>
      </c>
      <c r="K621" s="188">
        <v>0</v>
      </c>
      <c r="L621" s="188">
        <v>11.448</v>
      </c>
      <c r="M621" s="188">
        <v>11.448</v>
      </c>
      <c r="N621" s="188">
        <v>0</v>
      </c>
      <c r="O621" s="188">
        <v>0</v>
      </c>
      <c r="P621" s="193"/>
    </row>
    <row r="622" spans="9:16">
      <c r="I622" s="186" t="s">
        <v>1700</v>
      </c>
      <c r="J622" s="188">
        <v>0</v>
      </c>
      <c r="K622" s="188">
        <v>0</v>
      </c>
      <c r="L622" s="188">
        <v>678.7</v>
      </c>
      <c r="M622" s="188">
        <v>678.7</v>
      </c>
      <c r="N622" s="188">
        <v>0</v>
      </c>
      <c r="O622" s="188">
        <v>0</v>
      </c>
      <c r="P622" s="193"/>
    </row>
    <row r="623" spans="9:16">
      <c r="I623" s="186" t="s">
        <v>1701</v>
      </c>
      <c r="J623" s="188">
        <v>224.45</v>
      </c>
      <c r="K623" s="188">
        <v>0</v>
      </c>
      <c r="L623" s="188">
        <v>0</v>
      </c>
      <c r="M623" s="188">
        <v>0</v>
      </c>
      <c r="N623" s="188">
        <v>224.45</v>
      </c>
      <c r="O623" s="188">
        <v>0</v>
      </c>
      <c r="P623" s="193"/>
    </row>
    <row r="624" spans="9:16">
      <c r="I624" s="186" t="s">
        <v>1702</v>
      </c>
      <c r="J624" s="188">
        <v>0</v>
      </c>
      <c r="K624" s="188">
        <v>0</v>
      </c>
      <c r="L624" s="188">
        <v>1289.5</v>
      </c>
      <c r="M624" s="188">
        <v>1289.5</v>
      </c>
      <c r="N624" s="188">
        <v>0</v>
      </c>
      <c r="O624" s="188">
        <v>0</v>
      </c>
      <c r="P624" s="193"/>
    </row>
    <row r="625" spans="9:16">
      <c r="I625" s="186" t="s">
        <v>1703</v>
      </c>
      <c r="J625" s="188">
        <v>0</v>
      </c>
      <c r="K625" s="188">
        <v>0</v>
      </c>
      <c r="L625" s="188">
        <v>20000</v>
      </c>
      <c r="M625" s="188">
        <v>0</v>
      </c>
      <c r="N625" s="197">
        <v>20000</v>
      </c>
      <c r="O625" s="188">
        <v>0</v>
      </c>
      <c r="P625" s="193"/>
    </row>
    <row r="626" spans="9:16">
      <c r="I626" s="186" t="s">
        <v>1704</v>
      </c>
      <c r="J626" s="188">
        <v>0</v>
      </c>
      <c r="K626" s="188">
        <v>0</v>
      </c>
      <c r="L626" s="188">
        <v>1000.55312</v>
      </c>
      <c r="M626" s="188">
        <v>0</v>
      </c>
      <c r="N626" s="197">
        <v>1000.55312</v>
      </c>
      <c r="O626" s="188">
        <v>0</v>
      </c>
      <c r="P626" s="193"/>
    </row>
    <row r="627" spans="9:16">
      <c r="I627" s="186" t="s">
        <v>1705</v>
      </c>
      <c r="J627" s="188">
        <v>0</v>
      </c>
      <c r="K627" s="188">
        <v>0</v>
      </c>
      <c r="L627" s="188">
        <v>2133.19</v>
      </c>
      <c r="M627" s="188">
        <v>1855.59</v>
      </c>
      <c r="N627" s="188">
        <v>277.60000000000002</v>
      </c>
      <c r="O627" s="188">
        <v>0</v>
      </c>
      <c r="P627" s="193"/>
    </row>
    <row r="628" spans="9:16">
      <c r="I628" s="186" t="s">
        <v>1706</v>
      </c>
      <c r="J628" s="188">
        <v>0</v>
      </c>
      <c r="K628" s="188">
        <v>0</v>
      </c>
      <c r="L628" s="188">
        <v>532</v>
      </c>
      <c r="M628" s="188">
        <v>532</v>
      </c>
      <c r="N628" s="188">
        <v>0</v>
      </c>
      <c r="O628" s="188">
        <v>0</v>
      </c>
      <c r="P628" s="193"/>
    </row>
    <row r="629" spans="9:16">
      <c r="I629" s="186" t="s">
        <v>1707</v>
      </c>
      <c r="J629" s="188">
        <v>1596.3590099999999</v>
      </c>
      <c r="K629" s="188">
        <v>0</v>
      </c>
      <c r="L629" s="188">
        <v>1784.6210000000001</v>
      </c>
      <c r="M629" s="188">
        <v>2279.10907</v>
      </c>
      <c r="N629" s="188">
        <v>1101.87094</v>
      </c>
      <c r="O629" s="188">
        <v>0</v>
      </c>
      <c r="P629" s="193"/>
    </row>
    <row r="630" spans="9:16">
      <c r="I630" s="186" t="s">
        <v>1708</v>
      </c>
      <c r="J630" s="188">
        <v>0</v>
      </c>
      <c r="K630" s="188">
        <v>0</v>
      </c>
      <c r="L630" s="188">
        <v>9804.0740000000005</v>
      </c>
      <c r="M630" s="188">
        <v>8613.0740000000005</v>
      </c>
      <c r="N630" s="197">
        <v>1191</v>
      </c>
      <c r="O630" s="188">
        <v>0</v>
      </c>
      <c r="P630" s="193"/>
    </row>
    <row r="631" spans="9:16">
      <c r="I631" s="186" t="s">
        <v>1709</v>
      </c>
      <c r="J631" s="188">
        <v>0</v>
      </c>
      <c r="K631" s="188">
        <v>0</v>
      </c>
      <c r="L631" s="188">
        <v>618.77700000000004</v>
      </c>
      <c r="M631" s="188">
        <v>618.77700000000004</v>
      </c>
      <c r="N631" s="188">
        <v>0</v>
      </c>
      <c r="O631" s="188">
        <v>0</v>
      </c>
      <c r="P631" s="193"/>
    </row>
    <row r="632" spans="9:16">
      <c r="I632" s="186" t="s">
        <v>1710</v>
      </c>
      <c r="J632" s="188">
        <v>0</v>
      </c>
      <c r="K632" s="188">
        <v>0</v>
      </c>
      <c r="L632" s="188">
        <v>436.54</v>
      </c>
      <c r="M632" s="188">
        <v>436.54</v>
      </c>
      <c r="N632" s="188">
        <v>0</v>
      </c>
      <c r="O632" s="188">
        <v>0</v>
      </c>
      <c r="P632" s="193"/>
    </row>
    <row r="633" spans="9:16">
      <c r="I633" s="186" t="s">
        <v>1711</v>
      </c>
      <c r="J633" s="188">
        <v>0</v>
      </c>
      <c r="K633" s="188">
        <v>0</v>
      </c>
      <c r="L633" s="188">
        <v>70</v>
      </c>
      <c r="M633" s="188">
        <v>70</v>
      </c>
      <c r="N633" s="188">
        <v>0</v>
      </c>
      <c r="O633" s="188">
        <v>0</v>
      </c>
      <c r="P633" s="193"/>
    </row>
    <row r="634" spans="9:16">
      <c r="I634" s="186" t="s">
        <v>1712</v>
      </c>
      <c r="J634" s="188">
        <v>468</v>
      </c>
      <c r="K634" s="188">
        <v>0</v>
      </c>
      <c r="L634" s="188">
        <v>0</v>
      </c>
      <c r="M634" s="188">
        <v>143.6</v>
      </c>
      <c r="N634" s="188">
        <v>324.39999999999998</v>
      </c>
      <c r="O634" s="188">
        <v>0</v>
      </c>
      <c r="P634" s="193"/>
    </row>
    <row r="635" spans="9:16">
      <c r="I635" s="186" t="s">
        <v>1713</v>
      </c>
      <c r="J635" s="188">
        <v>0</v>
      </c>
      <c r="K635" s="188">
        <v>0</v>
      </c>
      <c r="L635" s="188">
        <v>46.5</v>
      </c>
      <c r="M635" s="188">
        <v>46.5</v>
      </c>
      <c r="N635" s="188">
        <v>0</v>
      </c>
      <c r="O635" s="188">
        <v>0</v>
      </c>
      <c r="P635" s="193"/>
    </row>
    <row r="636" spans="9:16">
      <c r="I636" s="186" t="s">
        <v>1714</v>
      </c>
      <c r="J636" s="188">
        <v>344.56</v>
      </c>
      <c r="K636" s="188">
        <v>0</v>
      </c>
      <c r="L636" s="188">
        <v>0</v>
      </c>
      <c r="M636" s="188">
        <v>344.56</v>
      </c>
      <c r="N636" s="188">
        <v>0</v>
      </c>
      <c r="O636" s="188">
        <v>0</v>
      </c>
      <c r="P636" s="193"/>
    </row>
    <row r="637" spans="9:16">
      <c r="I637" s="186" t="s">
        <v>1715</v>
      </c>
      <c r="J637" s="188">
        <v>0</v>
      </c>
      <c r="K637" s="188">
        <v>0</v>
      </c>
      <c r="L637" s="188">
        <v>135.80000000000001</v>
      </c>
      <c r="M637" s="188">
        <v>135.80000000000001</v>
      </c>
      <c r="N637" s="188">
        <v>0</v>
      </c>
      <c r="O637" s="188">
        <v>0</v>
      </c>
      <c r="P637" s="193"/>
    </row>
    <row r="638" spans="9:16">
      <c r="I638" s="186" t="s">
        <v>1716</v>
      </c>
      <c r="J638" s="188">
        <v>0</v>
      </c>
      <c r="K638" s="188">
        <v>0</v>
      </c>
      <c r="L638" s="188">
        <v>173.83</v>
      </c>
      <c r="M638" s="188">
        <v>173.83</v>
      </c>
      <c r="N638" s="188">
        <v>0</v>
      </c>
      <c r="O638" s="188">
        <v>0</v>
      </c>
      <c r="P638" s="193"/>
    </row>
    <row r="639" spans="9:16">
      <c r="I639" s="186" t="s">
        <v>1717</v>
      </c>
      <c r="J639" s="188">
        <v>20</v>
      </c>
      <c r="K639" s="188">
        <v>0</v>
      </c>
      <c r="L639" s="188">
        <v>225.6</v>
      </c>
      <c r="M639" s="188">
        <v>225.6</v>
      </c>
      <c r="N639" s="188">
        <v>20</v>
      </c>
      <c r="O639" s="188">
        <v>0</v>
      </c>
      <c r="P639" s="193"/>
    </row>
    <row r="640" spans="9:16">
      <c r="I640" s="186" t="s">
        <v>1718</v>
      </c>
      <c r="J640" s="188">
        <v>0</v>
      </c>
      <c r="K640" s="188">
        <v>0</v>
      </c>
      <c r="L640" s="188">
        <v>332.64</v>
      </c>
      <c r="M640" s="188">
        <v>332.64</v>
      </c>
      <c r="N640" s="188">
        <v>0</v>
      </c>
      <c r="O640" s="188">
        <v>0</v>
      </c>
      <c r="P640" s="193"/>
    </row>
    <row r="641" spans="9:16">
      <c r="I641" s="186" t="s">
        <v>1719</v>
      </c>
      <c r="J641" s="188">
        <v>0</v>
      </c>
      <c r="K641" s="188">
        <v>0</v>
      </c>
      <c r="L641" s="188">
        <v>16376.267</v>
      </c>
      <c r="M641" s="188">
        <v>16376.267</v>
      </c>
      <c r="N641" s="188">
        <v>0</v>
      </c>
      <c r="O641" s="188">
        <v>0</v>
      </c>
      <c r="P641" s="193"/>
    </row>
    <row r="642" spans="9:16">
      <c r="I642" s="186" t="s">
        <v>1720</v>
      </c>
      <c r="J642" s="188">
        <v>0</v>
      </c>
      <c r="K642" s="188">
        <v>0</v>
      </c>
      <c r="L642" s="188">
        <v>192.29</v>
      </c>
      <c r="M642" s="188">
        <v>132.38910000000001</v>
      </c>
      <c r="N642" s="188">
        <v>59.9009</v>
      </c>
      <c r="O642" s="188">
        <v>0</v>
      </c>
      <c r="P642" s="193"/>
    </row>
    <row r="643" spans="9:16">
      <c r="I643" s="186" t="s">
        <v>1721</v>
      </c>
      <c r="J643" s="188">
        <v>0</v>
      </c>
      <c r="K643" s="188">
        <v>0</v>
      </c>
      <c r="L643" s="188">
        <v>360</v>
      </c>
      <c r="M643" s="188">
        <v>360</v>
      </c>
      <c r="N643" s="188">
        <v>0</v>
      </c>
      <c r="O643" s="188">
        <v>0</v>
      </c>
      <c r="P643" s="193"/>
    </row>
    <row r="644" spans="9:16">
      <c r="I644" s="186" t="s">
        <v>1722</v>
      </c>
      <c r="J644" s="188">
        <v>0</v>
      </c>
      <c r="K644" s="188">
        <v>0</v>
      </c>
      <c r="L644" s="188">
        <v>119714.69</v>
      </c>
      <c r="M644" s="188">
        <v>119714.69</v>
      </c>
      <c r="N644" s="188">
        <v>0</v>
      </c>
      <c r="O644" s="188">
        <v>0</v>
      </c>
      <c r="P644" s="193"/>
    </row>
    <row r="645" spans="9:16">
      <c r="I645" s="186" t="s">
        <v>1723</v>
      </c>
      <c r="J645" s="188">
        <v>0</v>
      </c>
      <c r="K645" s="188">
        <v>0</v>
      </c>
      <c r="L645" s="188">
        <v>11097.44</v>
      </c>
      <c r="M645" s="188">
        <v>11097.44</v>
      </c>
      <c r="N645" s="188">
        <v>0</v>
      </c>
      <c r="O645" s="188">
        <v>0</v>
      </c>
      <c r="P645" s="193"/>
    </row>
    <row r="646" spans="9:16">
      <c r="I646" s="186" t="s">
        <v>1724</v>
      </c>
      <c r="J646" s="188">
        <v>31.71</v>
      </c>
      <c r="K646" s="188">
        <v>0</v>
      </c>
      <c r="L646" s="188">
        <v>12883.69154</v>
      </c>
      <c r="M646" s="188">
        <v>12790.69154</v>
      </c>
      <c r="N646" s="188">
        <v>124.71</v>
      </c>
      <c r="O646" s="188">
        <v>0</v>
      </c>
      <c r="P646" s="193"/>
    </row>
    <row r="647" spans="9:16">
      <c r="I647" s="186" t="s">
        <v>1725</v>
      </c>
      <c r="J647" s="188">
        <v>0</v>
      </c>
      <c r="K647" s="188">
        <v>0</v>
      </c>
      <c r="L647" s="188">
        <v>130</v>
      </c>
      <c r="M647" s="188">
        <v>130</v>
      </c>
      <c r="N647" s="188">
        <v>0</v>
      </c>
      <c r="O647" s="188">
        <v>0</v>
      </c>
      <c r="P647" s="193"/>
    </row>
    <row r="648" spans="9:16">
      <c r="I648" s="186" t="s">
        <v>1038</v>
      </c>
      <c r="J648" s="188">
        <v>0</v>
      </c>
      <c r="K648" s="188">
        <v>0</v>
      </c>
      <c r="L648" s="188">
        <v>1017.4</v>
      </c>
      <c r="M648" s="188">
        <v>1017.4</v>
      </c>
      <c r="N648" s="188">
        <v>0</v>
      </c>
      <c r="O648" s="188">
        <v>0</v>
      </c>
      <c r="P648" s="193"/>
    </row>
    <row r="649" spans="9:16">
      <c r="I649" s="186" t="s">
        <v>1726</v>
      </c>
      <c r="J649" s="188">
        <v>0</v>
      </c>
      <c r="K649" s="188">
        <v>0</v>
      </c>
      <c r="L649" s="188">
        <v>414</v>
      </c>
      <c r="M649" s="188">
        <v>414</v>
      </c>
      <c r="N649" s="188">
        <v>0</v>
      </c>
      <c r="O649" s="188">
        <v>0</v>
      </c>
      <c r="P649" s="193"/>
    </row>
    <row r="650" spans="9:16">
      <c r="I650" s="186" t="s">
        <v>1727</v>
      </c>
      <c r="J650" s="188">
        <v>0</v>
      </c>
      <c r="K650" s="188">
        <v>0</v>
      </c>
      <c r="L650" s="188">
        <v>39180.60454</v>
      </c>
      <c r="M650" s="188">
        <v>39180.60454</v>
      </c>
      <c r="N650" s="188">
        <v>0</v>
      </c>
      <c r="O650" s="188">
        <v>0</v>
      </c>
      <c r="P650" s="193"/>
    </row>
    <row r="651" spans="9:16">
      <c r="I651" s="186" t="s">
        <v>1728</v>
      </c>
      <c r="J651" s="188">
        <v>17</v>
      </c>
      <c r="K651" s="188">
        <v>0</v>
      </c>
      <c r="L651" s="188">
        <v>45</v>
      </c>
      <c r="M651" s="188">
        <v>45</v>
      </c>
      <c r="N651" s="188">
        <v>17</v>
      </c>
      <c r="O651" s="188">
        <v>0</v>
      </c>
      <c r="P651" s="193"/>
    </row>
    <row r="652" spans="9:16">
      <c r="I652" s="186" t="s">
        <v>1729</v>
      </c>
      <c r="J652" s="188">
        <v>405.4</v>
      </c>
      <c r="K652" s="188">
        <v>0</v>
      </c>
      <c r="L652" s="188">
        <v>0</v>
      </c>
      <c r="M652" s="188">
        <v>0</v>
      </c>
      <c r="N652" s="188">
        <v>405.4</v>
      </c>
      <c r="O652" s="188">
        <v>0</v>
      </c>
      <c r="P652" s="193"/>
    </row>
    <row r="653" spans="9:16">
      <c r="I653" s="186" t="s">
        <v>1730</v>
      </c>
      <c r="J653" s="188">
        <v>20.498939999999997</v>
      </c>
      <c r="K653" s="188">
        <v>0</v>
      </c>
      <c r="L653" s="188">
        <v>0</v>
      </c>
      <c r="M653" s="188">
        <v>20.498939999999997</v>
      </c>
      <c r="N653" s="188">
        <v>0</v>
      </c>
      <c r="O653" s="188">
        <v>0</v>
      </c>
      <c r="P653" s="193"/>
    </row>
    <row r="654" spans="9:16">
      <c r="I654" s="186" t="s">
        <v>1731</v>
      </c>
      <c r="J654" s="188">
        <v>0</v>
      </c>
      <c r="K654" s="188">
        <v>0</v>
      </c>
      <c r="L654" s="188">
        <v>26.55</v>
      </c>
      <c r="M654" s="188">
        <v>26.55</v>
      </c>
      <c r="N654" s="188">
        <v>0</v>
      </c>
      <c r="O654" s="188">
        <v>0</v>
      </c>
      <c r="P654" s="193"/>
    </row>
    <row r="655" spans="9:16">
      <c r="I655" s="186" t="s">
        <v>1732</v>
      </c>
      <c r="J655" s="188">
        <v>0</v>
      </c>
      <c r="K655" s="188">
        <v>0</v>
      </c>
      <c r="L655" s="188">
        <v>131849.81456</v>
      </c>
      <c r="M655" s="188">
        <v>131849.81456</v>
      </c>
      <c r="N655" s="188">
        <v>0</v>
      </c>
      <c r="O655" s="188">
        <v>0</v>
      </c>
      <c r="P655" s="193"/>
    </row>
    <row r="656" spans="9:16">
      <c r="I656" s="186" t="s">
        <v>1733</v>
      </c>
      <c r="J656" s="188">
        <v>1.4999999999999999E-4</v>
      </c>
      <c r="K656" s="188">
        <v>0</v>
      </c>
      <c r="L656" s="188">
        <v>35882.065049999997</v>
      </c>
      <c r="M656" s="188">
        <v>35882.065200000005</v>
      </c>
      <c r="N656" s="188">
        <v>0</v>
      </c>
      <c r="O656" s="188">
        <v>0</v>
      </c>
      <c r="P656" s="193"/>
    </row>
    <row r="657" spans="9:16">
      <c r="I657" s="186" t="s">
        <v>1734</v>
      </c>
      <c r="J657" s="188">
        <v>4059.6590200000001</v>
      </c>
      <c r="K657" s="188">
        <v>0</v>
      </c>
      <c r="L657" s="188">
        <v>78073.659339999998</v>
      </c>
      <c r="M657" s="188">
        <v>75179.05343</v>
      </c>
      <c r="N657" s="188">
        <v>6954.2649299999994</v>
      </c>
      <c r="O657" s="188">
        <v>0</v>
      </c>
      <c r="P657" s="193"/>
    </row>
    <row r="658" spans="9:16">
      <c r="I658" s="186" t="s">
        <v>1735</v>
      </c>
      <c r="J658" s="188">
        <v>240</v>
      </c>
      <c r="K658" s="188">
        <v>0</v>
      </c>
      <c r="L658" s="188">
        <v>1600</v>
      </c>
      <c r="M658" s="188">
        <v>1600</v>
      </c>
      <c r="N658" s="188">
        <v>240</v>
      </c>
      <c r="O658" s="188">
        <v>0</v>
      </c>
      <c r="P658" s="193"/>
    </row>
    <row r="659" spans="9:16">
      <c r="I659" s="186" t="s">
        <v>1736</v>
      </c>
      <c r="J659" s="188">
        <v>0</v>
      </c>
      <c r="K659" s="188">
        <v>0</v>
      </c>
      <c r="L659" s="188">
        <v>5142.6030000000001</v>
      </c>
      <c r="M659" s="188">
        <v>5142.6030000000001</v>
      </c>
      <c r="N659" s="188">
        <v>0</v>
      </c>
      <c r="O659" s="188">
        <v>0</v>
      </c>
      <c r="P659" s="193"/>
    </row>
    <row r="660" spans="9:16">
      <c r="I660" s="186" t="s">
        <v>1737</v>
      </c>
      <c r="J660" s="188">
        <v>0</v>
      </c>
      <c r="K660" s="188">
        <v>0</v>
      </c>
      <c r="L660" s="188">
        <v>952.85599000000002</v>
      </c>
      <c r="M660" s="188">
        <v>952.85599000000002</v>
      </c>
      <c r="N660" s="188">
        <v>0</v>
      </c>
      <c r="O660" s="188">
        <v>0</v>
      </c>
      <c r="P660" s="193"/>
    </row>
    <row r="661" spans="9:16">
      <c r="I661" s="186" t="s">
        <v>1738</v>
      </c>
      <c r="J661" s="188">
        <v>0</v>
      </c>
      <c r="K661" s="188">
        <v>0</v>
      </c>
      <c r="L661" s="188">
        <v>30</v>
      </c>
      <c r="M661" s="188">
        <v>30</v>
      </c>
      <c r="N661" s="188">
        <v>0</v>
      </c>
      <c r="O661" s="188">
        <v>0</v>
      </c>
      <c r="P661" s="193"/>
    </row>
    <row r="662" spans="9:16">
      <c r="I662" s="186" t="s">
        <v>1739</v>
      </c>
      <c r="J662" s="188">
        <v>0</v>
      </c>
      <c r="K662" s="188">
        <v>0</v>
      </c>
      <c r="L662" s="188">
        <v>1828.335</v>
      </c>
      <c r="M662" s="188">
        <v>1828.335</v>
      </c>
      <c r="N662" s="188">
        <v>0</v>
      </c>
      <c r="O662" s="188">
        <v>0</v>
      </c>
      <c r="P662" s="193"/>
    </row>
    <row r="663" spans="9:16">
      <c r="I663" s="186" t="s">
        <v>1049</v>
      </c>
      <c r="J663" s="188">
        <v>0</v>
      </c>
      <c r="K663" s="188">
        <v>0</v>
      </c>
      <c r="L663" s="188">
        <v>41.4</v>
      </c>
      <c r="M663" s="188">
        <v>41.4</v>
      </c>
      <c r="N663" s="188">
        <v>0</v>
      </c>
      <c r="O663" s="188">
        <v>0</v>
      </c>
      <c r="P663" s="193"/>
    </row>
    <row r="664" spans="9:16">
      <c r="I664" s="186" t="s">
        <v>1740</v>
      </c>
      <c r="J664" s="188">
        <v>0</v>
      </c>
      <c r="K664" s="188">
        <v>0</v>
      </c>
      <c r="L664" s="188">
        <v>1524</v>
      </c>
      <c r="M664" s="188">
        <v>1524</v>
      </c>
      <c r="N664" s="188">
        <v>0</v>
      </c>
      <c r="O664" s="188">
        <v>0</v>
      </c>
      <c r="P664" s="193"/>
    </row>
    <row r="665" spans="9:16">
      <c r="I665" s="186" t="s">
        <v>1741</v>
      </c>
      <c r="J665" s="188">
        <v>5.0000000000000001E-4</v>
      </c>
      <c r="K665" s="188">
        <v>0</v>
      </c>
      <c r="L665" s="188">
        <v>0</v>
      </c>
      <c r="M665" s="188">
        <v>5.0000000000000001E-4</v>
      </c>
      <c r="N665" s="188">
        <v>0</v>
      </c>
      <c r="O665" s="188">
        <v>0</v>
      </c>
      <c r="P665" s="193"/>
    </row>
    <row r="666" spans="9:16">
      <c r="I666" s="186" t="s">
        <v>1742</v>
      </c>
      <c r="J666" s="188">
        <v>0</v>
      </c>
      <c r="K666" s="188">
        <v>0</v>
      </c>
      <c r="L666" s="188">
        <v>45</v>
      </c>
      <c r="M666" s="188">
        <v>45</v>
      </c>
      <c r="N666" s="188">
        <v>0</v>
      </c>
      <c r="O666" s="188">
        <v>0</v>
      </c>
      <c r="P666" s="193"/>
    </row>
    <row r="667" spans="9:16">
      <c r="I667" s="186" t="s">
        <v>1743</v>
      </c>
      <c r="J667" s="188">
        <v>0</v>
      </c>
      <c r="K667" s="188">
        <v>0</v>
      </c>
      <c r="L667" s="188">
        <v>1.98</v>
      </c>
      <c r="M667" s="188">
        <v>1.98</v>
      </c>
      <c r="N667" s="188">
        <v>0</v>
      </c>
      <c r="O667" s="188">
        <v>0</v>
      </c>
      <c r="P667" s="193"/>
    </row>
    <row r="668" spans="9:16">
      <c r="I668" s="186" t="s">
        <v>1744</v>
      </c>
      <c r="J668" s="188">
        <v>23.234400000000001</v>
      </c>
      <c r="K668" s="188">
        <v>0</v>
      </c>
      <c r="L668" s="188">
        <v>3.7818200000000002</v>
      </c>
      <c r="M668" s="188">
        <v>27.016220000000001</v>
      </c>
      <c r="N668" s="188">
        <v>0</v>
      </c>
      <c r="O668" s="188">
        <v>0</v>
      </c>
      <c r="P668" s="193"/>
    </row>
    <row r="669" spans="9:16">
      <c r="I669" s="186" t="s">
        <v>1745</v>
      </c>
      <c r="J669" s="188">
        <v>0</v>
      </c>
      <c r="K669" s="188">
        <v>0</v>
      </c>
      <c r="L669" s="188">
        <v>162.428</v>
      </c>
      <c r="M669" s="188">
        <v>162.428</v>
      </c>
      <c r="N669" s="188">
        <v>0</v>
      </c>
      <c r="O669" s="188">
        <v>0</v>
      </c>
      <c r="P669" s="193"/>
    </row>
    <row r="670" spans="9:16">
      <c r="I670" s="186" t="s">
        <v>1746</v>
      </c>
      <c r="J670" s="188">
        <v>0</v>
      </c>
      <c r="K670" s="188">
        <v>0</v>
      </c>
      <c r="L670" s="188">
        <v>600</v>
      </c>
      <c r="M670" s="188">
        <v>600</v>
      </c>
      <c r="N670" s="188">
        <v>0</v>
      </c>
      <c r="O670" s="188">
        <v>0</v>
      </c>
      <c r="P670" s="193"/>
    </row>
    <row r="671" spans="9:16">
      <c r="I671" s="186" t="s">
        <v>1747</v>
      </c>
      <c r="J671" s="188">
        <v>0</v>
      </c>
      <c r="K671" s="188">
        <v>0</v>
      </c>
      <c r="L671" s="188">
        <v>27850.004639999999</v>
      </c>
      <c r="M671" s="188">
        <v>27850.004639999999</v>
      </c>
      <c r="N671" s="188">
        <v>0</v>
      </c>
      <c r="O671" s="188">
        <v>0</v>
      </c>
      <c r="P671" s="193"/>
    </row>
    <row r="672" spans="9:16">
      <c r="I672" s="186" t="s">
        <v>1748</v>
      </c>
      <c r="J672" s="188">
        <v>0</v>
      </c>
      <c r="K672" s="188">
        <v>0</v>
      </c>
      <c r="L672" s="188">
        <v>10571.07</v>
      </c>
      <c r="M672" s="188">
        <v>10571.07</v>
      </c>
      <c r="N672" s="188">
        <v>0</v>
      </c>
      <c r="O672" s="188">
        <v>0</v>
      </c>
      <c r="P672" s="193"/>
    </row>
    <row r="673" spans="9:16">
      <c r="I673" s="186" t="s">
        <v>1749</v>
      </c>
      <c r="J673" s="188">
        <v>6.9199999999999999E-3</v>
      </c>
      <c r="K673" s="188">
        <v>0</v>
      </c>
      <c r="L673" s="188">
        <v>11931.21552</v>
      </c>
      <c r="M673" s="188">
        <v>11501.75452</v>
      </c>
      <c r="N673" s="188">
        <v>429.46791999999999</v>
      </c>
      <c r="O673" s="188">
        <v>0</v>
      </c>
      <c r="P673" s="193"/>
    </row>
    <row r="674" spans="9:16">
      <c r="I674" s="186" t="s">
        <v>1750</v>
      </c>
      <c r="J674" s="188">
        <v>0</v>
      </c>
      <c r="K674" s="188">
        <v>0</v>
      </c>
      <c r="L674" s="188">
        <v>2647.2739999999999</v>
      </c>
      <c r="M674" s="188">
        <v>2375.7840000000001</v>
      </c>
      <c r="N674" s="188">
        <v>271.49</v>
      </c>
      <c r="O674" s="188">
        <v>0</v>
      </c>
      <c r="P674" s="193"/>
    </row>
    <row r="675" spans="9:16">
      <c r="I675" s="186" t="s">
        <v>1751</v>
      </c>
      <c r="J675" s="188">
        <v>437.08032000000003</v>
      </c>
      <c r="K675" s="188">
        <v>0</v>
      </c>
      <c r="L675" s="188">
        <v>11444.72712</v>
      </c>
      <c r="M675" s="188">
        <v>11635.807439999999</v>
      </c>
      <c r="N675" s="188">
        <v>246</v>
      </c>
      <c r="O675" s="188">
        <v>0</v>
      </c>
      <c r="P675" s="193"/>
    </row>
    <row r="676" spans="9:16">
      <c r="I676" s="186" t="s">
        <v>1752</v>
      </c>
      <c r="J676" s="188">
        <v>14.861000000000001</v>
      </c>
      <c r="K676" s="188">
        <v>0</v>
      </c>
      <c r="L676" s="188">
        <v>0</v>
      </c>
      <c r="M676" s="188">
        <v>0</v>
      </c>
      <c r="N676" s="188">
        <v>14.861000000000001</v>
      </c>
      <c r="O676" s="188">
        <v>0</v>
      </c>
      <c r="P676" s="193"/>
    </row>
    <row r="677" spans="9:16">
      <c r="I677" s="186" t="s">
        <v>1057</v>
      </c>
      <c r="J677" s="188">
        <v>12834.93485</v>
      </c>
      <c r="K677" s="188">
        <v>0</v>
      </c>
      <c r="L677" s="188">
        <v>540651.79166999995</v>
      </c>
      <c r="M677" s="188">
        <v>526932.56292000005</v>
      </c>
      <c r="N677" s="188">
        <v>26554.1636</v>
      </c>
      <c r="O677" s="188">
        <v>0</v>
      </c>
      <c r="P677" s="193"/>
    </row>
    <row r="678" spans="9:16">
      <c r="I678" s="186" t="s">
        <v>1753</v>
      </c>
      <c r="J678" s="188">
        <v>0</v>
      </c>
      <c r="K678" s="188">
        <v>0</v>
      </c>
      <c r="L678" s="188">
        <v>8.92</v>
      </c>
      <c r="M678" s="188">
        <v>8.92</v>
      </c>
      <c r="N678" s="188">
        <v>0</v>
      </c>
      <c r="O678" s="188">
        <v>0</v>
      </c>
      <c r="P678" s="193"/>
    </row>
    <row r="679" spans="9:16">
      <c r="I679" s="186" t="s">
        <v>1754</v>
      </c>
      <c r="J679" s="188">
        <v>19688.7012</v>
      </c>
      <c r="K679" s="188">
        <v>0</v>
      </c>
      <c r="L679" s="188">
        <v>0</v>
      </c>
      <c r="M679" s="188">
        <v>19688.7012</v>
      </c>
      <c r="N679" s="188">
        <v>0</v>
      </c>
      <c r="O679" s="188">
        <v>0</v>
      </c>
      <c r="P679" s="193"/>
    </row>
    <row r="680" spans="9:16">
      <c r="I680" s="186" t="s">
        <v>1755</v>
      </c>
      <c r="J680" s="188">
        <v>0</v>
      </c>
      <c r="K680" s="188">
        <v>0</v>
      </c>
      <c r="L680" s="188">
        <v>504</v>
      </c>
      <c r="M680" s="188">
        <v>504</v>
      </c>
      <c r="N680" s="188">
        <v>0</v>
      </c>
      <c r="O680" s="188">
        <v>0</v>
      </c>
      <c r="P680" s="193"/>
    </row>
    <row r="681" spans="9:16">
      <c r="I681" s="186" t="s">
        <v>1061</v>
      </c>
      <c r="J681" s="188">
        <v>0</v>
      </c>
      <c r="K681" s="188">
        <v>0</v>
      </c>
      <c r="L681" s="188">
        <v>2759.5630000000001</v>
      </c>
      <c r="M681" s="188">
        <v>1065.598</v>
      </c>
      <c r="N681" s="197">
        <v>1693.9649999999999</v>
      </c>
      <c r="O681" s="188">
        <v>0</v>
      </c>
      <c r="P681" s="193"/>
    </row>
    <row r="682" spans="9:16">
      <c r="I682" s="186" t="s">
        <v>1756</v>
      </c>
      <c r="J682" s="188">
        <v>0</v>
      </c>
      <c r="K682" s="188">
        <v>0</v>
      </c>
      <c r="L682" s="188">
        <v>12.06</v>
      </c>
      <c r="M682" s="188">
        <v>12.06</v>
      </c>
      <c r="N682" s="188">
        <v>0</v>
      </c>
      <c r="O682" s="188">
        <v>0</v>
      </c>
      <c r="P682" s="193"/>
    </row>
    <row r="683" spans="9:16">
      <c r="I683" s="186" t="s">
        <v>1757</v>
      </c>
      <c r="J683" s="188">
        <v>0</v>
      </c>
      <c r="K683" s="188">
        <v>0</v>
      </c>
      <c r="L683" s="188">
        <v>16359.56682</v>
      </c>
      <c r="M683" s="188">
        <v>16359.56682</v>
      </c>
      <c r="N683" s="188">
        <v>0</v>
      </c>
      <c r="O683" s="188">
        <v>0</v>
      </c>
      <c r="P683" s="193"/>
    </row>
    <row r="684" spans="9:16">
      <c r="I684" s="186" t="s">
        <v>1758</v>
      </c>
      <c r="J684" s="188">
        <v>1449.2054900000001</v>
      </c>
      <c r="K684" s="188">
        <v>0</v>
      </c>
      <c r="L684" s="188">
        <v>16805.718239999998</v>
      </c>
      <c r="M684" s="188">
        <v>18165.693329999998</v>
      </c>
      <c r="N684" s="188">
        <v>89.230399999999989</v>
      </c>
      <c r="O684" s="188">
        <v>0</v>
      </c>
      <c r="P684" s="193"/>
    </row>
    <row r="685" spans="9:16">
      <c r="I685" s="186" t="s">
        <v>1759</v>
      </c>
      <c r="J685" s="188">
        <v>0</v>
      </c>
      <c r="K685" s="188">
        <v>0</v>
      </c>
      <c r="L685" s="188">
        <v>2427.7632899999999</v>
      </c>
      <c r="M685" s="188">
        <v>2427.7632899999999</v>
      </c>
      <c r="N685" s="188">
        <v>0</v>
      </c>
      <c r="O685" s="188">
        <v>0</v>
      </c>
      <c r="P685" s="193"/>
    </row>
    <row r="686" spans="9:16">
      <c r="I686" s="186" t="s">
        <v>1760</v>
      </c>
      <c r="J686" s="188">
        <v>0</v>
      </c>
      <c r="K686" s="188">
        <v>0</v>
      </c>
      <c r="L686" s="188">
        <v>6151.049</v>
      </c>
      <c r="M686" s="188">
        <v>6151.049</v>
      </c>
      <c r="N686" s="188">
        <v>0</v>
      </c>
      <c r="O686" s="188">
        <v>0</v>
      </c>
      <c r="P686" s="193"/>
    </row>
    <row r="687" spans="9:16">
      <c r="I687" s="186" t="s">
        <v>1761</v>
      </c>
      <c r="J687" s="188">
        <v>0</v>
      </c>
      <c r="K687" s="188">
        <v>0</v>
      </c>
      <c r="L687" s="188">
        <v>40393.261009999995</v>
      </c>
      <c r="M687" s="188">
        <v>40393.261009999995</v>
      </c>
      <c r="N687" s="188">
        <v>0</v>
      </c>
      <c r="O687" s="188">
        <v>0</v>
      </c>
      <c r="P687" s="193"/>
    </row>
    <row r="688" spans="9:16">
      <c r="I688" s="186" t="s">
        <v>1762</v>
      </c>
      <c r="J688" s="188">
        <v>0</v>
      </c>
      <c r="K688" s="188">
        <v>0</v>
      </c>
      <c r="L688" s="188">
        <v>7.9</v>
      </c>
      <c r="M688" s="188">
        <v>7.9</v>
      </c>
      <c r="N688" s="188">
        <v>0</v>
      </c>
      <c r="O688" s="188">
        <v>0</v>
      </c>
      <c r="P688" s="193"/>
    </row>
    <row r="689" spans="9:16">
      <c r="I689" s="186" t="s">
        <v>1763</v>
      </c>
      <c r="J689" s="188">
        <v>9.4</v>
      </c>
      <c r="K689" s="188">
        <v>0</v>
      </c>
      <c r="L689" s="188">
        <v>0</v>
      </c>
      <c r="M689" s="188">
        <v>0</v>
      </c>
      <c r="N689" s="188">
        <v>9.4</v>
      </c>
      <c r="O689" s="188">
        <v>0</v>
      </c>
      <c r="P689" s="193"/>
    </row>
    <row r="690" spans="9:16">
      <c r="I690" s="186" t="s">
        <v>1764</v>
      </c>
      <c r="J690" s="188">
        <v>0</v>
      </c>
      <c r="K690" s="188">
        <v>0</v>
      </c>
      <c r="L690" s="188">
        <v>299.5</v>
      </c>
      <c r="M690" s="188">
        <v>299.5</v>
      </c>
      <c r="N690" s="188">
        <v>0</v>
      </c>
      <c r="O690" s="188">
        <v>0</v>
      </c>
      <c r="P690" s="193"/>
    </row>
    <row r="691" spans="9:16">
      <c r="I691" s="186" t="s">
        <v>1765</v>
      </c>
      <c r="J691" s="188">
        <v>0</v>
      </c>
      <c r="K691" s="188">
        <v>0</v>
      </c>
      <c r="L691" s="188">
        <v>372.27571999999998</v>
      </c>
      <c r="M691" s="188">
        <v>372.27571999999998</v>
      </c>
      <c r="N691" s="188">
        <v>0</v>
      </c>
      <c r="O691" s="188">
        <v>0</v>
      </c>
      <c r="P691" s="193"/>
    </row>
    <row r="692" spans="9:16">
      <c r="I692" s="186" t="s">
        <v>1766</v>
      </c>
      <c r="J692" s="188">
        <v>120</v>
      </c>
      <c r="K692" s="188">
        <v>0</v>
      </c>
      <c r="L692" s="188">
        <v>0</v>
      </c>
      <c r="M692" s="188">
        <v>0</v>
      </c>
      <c r="N692" s="188">
        <v>120</v>
      </c>
      <c r="O692" s="188">
        <v>0</v>
      </c>
      <c r="P692" s="193"/>
    </row>
    <row r="693" spans="9:16">
      <c r="I693" s="186" t="s">
        <v>1767</v>
      </c>
      <c r="J693" s="188">
        <v>5088</v>
      </c>
      <c r="K693" s="188">
        <v>0</v>
      </c>
      <c r="L693" s="188">
        <v>0</v>
      </c>
      <c r="M693" s="188">
        <v>5088</v>
      </c>
      <c r="N693" s="188">
        <v>0</v>
      </c>
      <c r="O693" s="188">
        <v>0</v>
      </c>
      <c r="P693" s="193"/>
    </row>
    <row r="694" spans="9:16">
      <c r="I694" s="186" t="s">
        <v>1768</v>
      </c>
      <c r="J694" s="188">
        <v>0</v>
      </c>
      <c r="K694" s="188">
        <v>0</v>
      </c>
      <c r="L694" s="188">
        <v>2777.7383999999997</v>
      </c>
      <c r="M694" s="188">
        <v>2777.7383999999997</v>
      </c>
      <c r="N694" s="188">
        <v>0</v>
      </c>
      <c r="O694" s="188">
        <v>0</v>
      </c>
      <c r="P694" s="193"/>
    </row>
    <row r="695" spans="9:16">
      <c r="I695" s="186" t="s">
        <v>1769</v>
      </c>
      <c r="J695" s="188">
        <v>154</v>
      </c>
      <c r="K695" s="188">
        <v>0</v>
      </c>
      <c r="L695" s="188">
        <v>3455</v>
      </c>
      <c r="M695" s="188">
        <v>3455</v>
      </c>
      <c r="N695" s="188">
        <v>154</v>
      </c>
      <c r="O695" s="188">
        <v>0</v>
      </c>
      <c r="P695" s="193"/>
    </row>
    <row r="696" spans="9:16">
      <c r="I696" s="186" t="s">
        <v>1770</v>
      </c>
      <c r="J696" s="188">
        <v>862.7</v>
      </c>
      <c r="K696" s="188">
        <v>0</v>
      </c>
      <c r="L696" s="188">
        <v>0</v>
      </c>
      <c r="M696" s="188">
        <v>0</v>
      </c>
      <c r="N696" s="188">
        <v>862.7</v>
      </c>
      <c r="O696" s="188">
        <v>0</v>
      </c>
      <c r="P696" s="193"/>
    </row>
    <row r="697" spans="9:16">
      <c r="I697" s="186" t="s">
        <v>1771</v>
      </c>
      <c r="J697" s="188">
        <v>0</v>
      </c>
      <c r="K697" s="188">
        <v>0</v>
      </c>
      <c r="L697" s="188">
        <v>32854.12098</v>
      </c>
      <c r="M697" s="188">
        <v>32854.12098</v>
      </c>
      <c r="N697" s="188">
        <v>0</v>
      </c>
      <c r="O697" s="188">
        <v>0</v>
      </c>
      <c r="P697" s="193"/>
    </row>
    <row r="698" spans="9:16">
      <c r="I698" s="186" t="s">
        <v>1772</v>
      </c>
      <c r="J698" s="188">
        <v>0</v>
      </c>
      <c r="K698" s="188">
        <v>0</v>
      </c>
      <c r="L698" s="188">
        <v>11.2</v>
      </c>
      <c r="M698" s="188">
        <v>11.2</v>
      </c>
      <c r="N698" s="188">
        <v>0</v>
      </c>
      <c r="O698" s="188">
        <v>0</v>
      </c>
      <c r="P698" s="193"/>
    </row>
    <row r="699" spans="9:16">
      <c r="I699" s="186" t="s">
        <v>1773</v>
      </c>
      <c r="J699" s="188">
        <v>348.6</v>
      </c>
      <c r="K699" s="188">
        <v>0</v>
      </c>
      <c r="L699" s="188">
        <v>0</v>
      </c>
      <c r="M699" s="188">
        <v>0</v>
      </c>
      <c r="N699" s="188">
        <v>348.6</v>
      </c>
      <c r="O699" s="188">
        <v>0</v>
      </c>
      <c r="P699" s="193"/>
    </row>
    <row r="700" spans="9:16">
      <c r="I700" s="186" t="s">
        <v>1774</v>
      </c>
      <c r="J700" s="188">
        <v>0</v>
      </c>
      <c r="K700" s="188">
        <v>0</v>
      </c>
      <c r="L700" s="188">
        <v>17954.553</v>
      </c>
      <c r="M700" s="188">
        <v>17954.553</v>
      </c>
      <c r="N700" s="188">
        <v>0</v>
      </c>
      <c r="O700" s="188">
        <v>0</v>
      </c>
      <c r="P700" s="193"/>
    </row>
    <row r="701" spans="9:16">
      <c r="I701" s="186" t="s">
        <v>1775</v>
      </c>
      <c r="J701" s="188">
        <v>0</v>
      </c>
      <c r="K701" s="188">
        <v>0</v>
      </c>
      <c r="L701" s="188">
        <v>913.54319999999996</v>
      </c>
      <c r="M701" s="188">
        <v>913.54319999999996</v>
      </c>
      <c r="N701" s="188">
        <v>0</v>
      </c>
      <c r="O701" s="188">
        <v>0</v>
      </c>
      <c r="P701" s="193"/>
    </row>
    <row r="702" spans="9:16">
      <c r="I702" s="186" t="s">
        <v>1776</v>
      </c>
      <c r="J702" s="188">
        <v>0</v>
      </c>
      <c r="K702" s="188">
        <v>0</v>
      </c>
      <c r="L702" s="188">
        <v>6819.3655999999992</v>
      </c>
      <c r="M702" s="188">
        <v>6193.6255999999994</v>
      </c>
      <c r="N702" s="188">
        <v>625.74</v>
      </c>
      <c r="O702" s="188">
        <v>0</v>
      </c>
      <c r="P702" s="193"/>
    </row>
    <row r="703" spans="9:16">
      <c r="I703" s="186" t="s">
        <v>1777</v>
      </c>
      <c r="J703" s="188">
        <v>0</v>
      </c>
      <c r="K703" s="188">
        <v>0</v>
      </c>
      <c r="L703" s="188">
        <v>163.19999999999999</v>
      </c>
      <c r="M703" s="188">
        <v>163.19999999999999</v>
      </c>
      <c r="N703" s="188">
        <v>0</v>
      </c>
      <c r="O703" s="188">
        <v>0</v>
      </c>
      <c r="P703" s="193"/>
    </row>
    <row r="704" spans="9:16">
      <c r="I704" s="186" t="s">
        <v>1778</v>
      </c>
      <c r="J704" s="188">
        <v>0</v>
      </c>
      <c r="K704" s="188">
        <v>0</v>
      </c>
      <c r="L704" s="188">
        <v>2643.3539999999998</v>
      </c>
      <c r="M704" s="188">
        <v>2643.3539999999998</v>
      </c>
      <c r="N704" s="188">
        <v>0</v>
      </c>
      <c r="O704" s="188">
        <v>0</v>
      </c>
      <c r="P704" s="193"/>
    </row>
    <row r="705" spans="9:16">
      <c r="I705" s="186" t="s">
        <v>1779</v>
      </c>
      <c r="J705" s="188">
        <v>0</v>
      </c>
      <c r="K705" s="188">
        <v>0</v>
      </c>
      <c r="L705" s="188">
        <v>519.79999999999995</v>
      </c>
      <c r="M705" s="188">
        <v>519.79999999999995</v>
      </c>
      <c r="N705" s="188">
        <v>0</v>
      </c>
      <c r="O705" s="188">
        <v>0</v>
      </c>
      <c r="P705" s="193"/>
    </row>
    <row r="706" spans="9:16">
      <c r="I706" s="186" t="s">
        <v>1780</v>
      </c>
      <c r="J706" s="188">
        <v>0</v>
      </c>
      <c r="K706" s="188">
        <v>0</v>
      </c>
      <c r="L706" s="188">
        <v>1302.9650300000001</v>
      </c>
      <c r="M706" s="188">
        <v>1302.9650300000001</v>
      </c>
      <c r="N706" s="188">
        <v>0</v>
      </c>
      <c r="O706" s="188">
        <v>0</v>
      </c>
      <c r="P706" s="193"/>
    </row>
    <row r="707" spans="9:16">
      <c r="I707" s="186" t="s">
        <v>1781</v>
      </c>
      <c r="J707" s="188">
        <v>0</v>
      </c>
      <c r="K707" s="188">
        <v>0</v>
      </c>
      <c r="L707" s="188">
        <v>42395.541369999999</v>
      </c>
      <c r="M707" s="188">
        <v>28609.262999999999</v>
      </c>
      <c r="N707" s="197">
        <v>13786.27837</v>
      </c>
      <c r="O707" s="188">
        <v>0</v>
      </c>
      <c r="P707" s="193"/>
    </row>
    <row r="708" spans="9:16">
      <c r="I708" s="186" t="s">
        <v>1782</v>
      </c>
      <c r="J708" s="188">
        <v>0</v>
      </c>
      <c r="K708" s="188">
        <v>0</v>
      </c>
      <c r="L708" s="188">
        <v>30</v>
      </c>
      <c r="M708" s="188">
        <v>30</v>
      </c>
      <c r="N708" s="188">
        <v>0</v>
      </c>
      <c r="O708" s="188">
        <v>0</v>
      </c>
      <c r="P708" s="193"/>
    </row>
    <row r="709" spans="9:16">
      <c r="I709" s="186" t="s">
        <v>1783</v>
      </c>
      <c r="J709" s="188">
        <v>0</v>
      </c>
      <c r="K709" s="188">
        <v>0</v>
      </c>
      <c r="L709" s="188">
        <v>1.9</v>
      </c>
      <c r="M709" s="188">
        <v>1.9</v>
      </c>
      <c r="N709" s="188">
        <v>0</v>
      </c>
      <c r="O709" s="188">
        <v>0</v>
      </c>
      <c r="P709" s="193"/>
    </row>
    <row r="710" spans="9:16">
      <c r="I710" s="186" t="s">
        <v>1784</v>
      </c>
      <c r="J710" s="188">
        <v>0</v>
      </c>
      <c r="K710" s="188">
        <v>0</v>
      </c>
      <c r="L710" s="188">
        <v>1232.45</v>
      </c>
      <c r="M710" s="188">
        <v>1232.45</v>
      </c>
      <c r="N710" s="188">
        <v>0</v>
      </c>
      <c r="O710" s="188">
        <v>0</v>
      </c>
      <c r="P710" s="193"/>
    </row>
    <row r="711" spans="9:16">
      <c r="I711" s="186" t="s">
        <v>1785</v>
      </c>
      <c r="J711" s="188">
        <v>0</v>
      </c>
      <c r="K711" s="188">
        <v>0</v>
      </c>
      <c r="L711" s="188">
        <v>48</v>
      </c>
      <c r="M711" s="188">
        <v>48</v>
      </c>
      <c r="N711" s="188">
        <v>0</v>
      </c>
      <c r="O711" s="188">
        <v>0</v>
      </c>
      <c r="P711" s="193"/>
    </row>
    <row r="712" spans="9:16">
      <c r="I712" s="186" t="s">
        <v>1786</v>
      </c>
      <c r="J712" s="188">
        <v>0</v>
      </c>
      <c r="K712" s="188">
        <v>0</v>
      </c>
      <c r="L712" s="188">
        <v>15540.784</v>
      </c>
      <c r="M712" s="188">
        <v>15540.784</v>
      </c>
      <c r="N712" s="188">
        <v>0</v>
      </c>
      <c r="O712" s="188">
        <v>0</v>
      </c>
      <c r="P712" s="193"/>
    </row>
    <row r="713" spans="9:16">
      <c r="I713" s="186" t="s">
        <v>1787</v>
      </c>
      <c r="J713" s="188">
        <v>0</v>
      </c>
      <c r="K713" s="188">
        <v>0</v>
      </c>
      <c r="L713" s="188">
        <v>2.5430000000000001</v>
      </c>
      <c r="M713" s="188">
        <v>2.5430000000000001</v>
      </c>
      <c r="N713" s="188">
        <v>0</v>
      </c>
      <c r="O713" s="188">
        <v>0</v>
      </c>
      <c r="P713" s="193"/>
    </row>
    <row r="714" spans="9:16">
      <c r="I714" s="186" t="s">
        <v>1788</v>
      </c>
      <c r="J714" s="188">
        <v>0</v>
      </c>
      <c r="K714" s="188">
        <v>0</v>
      </c>
      <c r="L714" s="188">
        <v>1095.6626999999999</v>
      </c>
      <c r="M714" s="188">
        <v>1095.6626999999999</v>
      </c>
      <c r="N714" s="188">
        <v>0</v>
      </c>
      <c r="O714" s="188">
        <v>0</v>
      </c>
      <c r="P714" s="193"/>
    </row>
    <row r="715" spans="9:16">
      <c r="I715" s="186" t="s">
        <v>1789</v>
      </c>
      <c r="J715" s="188">
        <v>0</v>
      </c>
      <c r="K715" s="188">
        <v>0</v>
      </c>
      <c r="L715" s="188">
        <v>1045.8889999999999</v>
      </c>
      <c r="M715" s="188">
        <v>1045.8889999999999</v>
      </c>
      <c r="N715" s="188">
        <v>0</v>
      </c>
      <c r="O715" s="188">
        <v>0</v>
      </c>
      <c r="P715" s="193"/>
    </row>
    <row r="716" spans="9:16">
      <c r="I716" s="186" t="s">
        <v>1790</v>
      </c>
      <c r="J716" s="188">
        <v>0</v>
      </c>
      <c r="K716" s="188">
        <v>0</v>
      </c>
      <c r="L716" s="188">
        <v>5032.1222199999993</v>
      </c>
      <c r="M716" s="188">
        <v>5032.1222199999993</v>
      </c>
      <c r="N716" s="188">
        <v>0</v>
      </c>
      <c r="O716" s="188">
        <v>0</v>
      </c>
      <c r="P716" s="193"/>
    </row>
    <row r="717" spans="9:16">
      <c r="I717" s="186" t="s">
        <v>1791</v>
      </c>
      <c r="J717" s="188">
        <v>58.695</v>
      </c>
      <c r="K717" s="188">
        <v>0</v>
      </c>
      <c r="L717" s="188">
        <v>58.695</v>
      </c>
      <c r="M717" s="188">
        <v>117.39</v>
      </c>
      <c r="N717" s="188">
        <v>0</v>
      </c>
      <c r="O717" s="188">
        <v>0</v>
      </c>
      <c r="P717" s="193"/>
    </row>
    <row r="718" spans="9:16">
      <c r="I718" s="186" t="s">
        <v>1792</v>
      </c>
      <c r="J718" s="188">
        <v>0</v>
      </c>
      <c r="K718" s="188">
        <v>0</v>
      </c>
      <c r="L718" s="188">
        <v>135.32499999999999</v>
      </c>
      <c r="M718" s="188">
        <v>135.32499999999999</v>
      </c>
      <c r="N718" s="188">
        <v>0</v>
      </c>
      <c r="O718" s="188">
        <v>0</v>
      </c>
      <c r="P718" s="193"/>
    </row>
    <row r="719" spans="9:16">
      <c r="I719" s="186" t="s">
        <v>1793</v>
      </c>
      <c r="J719" s="188">
        <v>0</v>
      </c>
      <c r="K719" s="188">
        <v>0</v>
      </c>
      <c r="L719" s="188">
        <v>185</v>
      </c>
      <c r="M719" s="188">
        <v>0</v>
      </c>
      <c r="N719" s="188">
        <v>185</v>
      </c>
      <c r="O719" s="188">
        <v>0</v>
      </c>
      <c r="P719" s="193"/>
    </row>
    <row r="720" spans="9:16">
      <c r="I720" s="186" t="s">
        <v>1794</v>
      </c>
      <c r="J720" s="188">
        <v>184</v>
      </c>
      <c r="K720" s="188">
        <v>0</v>
      </c>
      <c r="L720" s="188">
        <v>10350</v>
      </c>
      <c r="M720" s="188">
        <v>10350</v>
      </c>
      <c r="N720" s="188">
        <v>184</v>
      </c>
      <c r="O720" s="188">
        <v>0</v>
      </c>
      <c r="P720" s="193"/>
    </row>
    <row r="721" spans="9:16">
      <c r="I721" s="186" t="s">
        <v>1795</v>
      </c>
      <c r="J721" s="188">
        <v>157.24799999999999</v>
      </c>
      <c r="K721" s="188">
        <v>0</v>
      </c>
      <c r="L721" s="188">
        <v>0</v>
      </c>
      <c r="M721" s="188">
        <v>0</v>
      </c>
      <c r="N721" s="188">
        <v>157.24799999999999</v>
      </c>
      <c r="O721" s="188">
        <v>0</v>
      </c>
      <c r="P721" s="193"/>
    </row>
    <row r="722" spans="9:16">
      <c r="I722" s="186" t="s">
        <v>1796</v>
      </c>
      <c r="J722" s="188">
        <v>583.34208000000001</v>
      </c>
      <c r="K722" s="188">
        <v>0</v>
      </c>
      <c r="L722" s="188">
        <v>0</v>
      </c>
      <c r="M722" s="188">
        <v>0</v>
      </c>
      <c r="N722" s="188">
        <v>583.34208000000001</v>
      </c>
      <c r="O722" s="188">
        <v>0</v>
      </c>
      <c r="P722" s="193"/>
    </row>
    <row r="723" spans="9:16">
      <c r="I723" s="186" t="s">
        <v>1797</v>
      </c>
      <c r="J723" s="188">
        <v>0</v>
      </c>
      <c r="K723" s="188">
        <v>0</v>
      </c>
      <c r="L723" s="188">
        <v>1515.3557599999999</v>
      </c>
      <c r="M723" s="188">
        <v>1515.3557599999999</v>
      </c>
      <c r="N723" s="188">
        <v>0</v>
      </c>
      <c r="O723" s="188">
        <v>0</v>
      </c>
      <c r="P723" s="193"/>
    </row>
    <row r="724" spans="9:16">
      <c r="I724" s="186" t="s">
        <v>1798</v>
      </c>
      <c r="J724" s="188">
        <v>0</v>
      </c>
      <c r="K724" s="188">
        <v>0</v>
      </c>
      <c r="L724" s="188">
        <v>50315.98</v>
      </c>
      <c r="M724" s="188">
        <v>50315.98</v>
      </c>
      <c r="N724" s="188">
        <v>0</v>
      </c>
      <c r="O724" s="188">
        <v>0</v>
      </c>
      <c r="P724" s="193"/>
    </row>
    <row r="725" spans="9:16">
      <c r="I725" s="186" t="s">
        <v>1799</v>
      </c>
      <c r="J725" s="188">
        <v>0</v>
      </c>
      <c r="K725" s="188">
        <v>0</v>
      </c>
      <c r="L725" s="188">
        <v>5481.1151300000001</v>
      </c>
      <c r="M725" s="188">
        <v>5481.1151300000001</v>
      </c>
      <c r="N725" s="188">
        <v>0</v>
      </c>
      <c r="O725" s="188">
        <v>0</v>
      </c>
      <c r="P725" s="193"/>
    </row>
    <row r="726" spans="9:16">
      <c r="I726" s="186" t="s">
        <v>1800</v>
      </c>
      <c r="J726" s="188">
        <v>0</v>
      </c>
      <c r="K726" s="188">
        <v>0</v>
      </c>
      <c r="L726" s="188">
        <v>14910.132</v>
      </c>
      <c r="M726" s="188">
        <v>14910.132</v>
      </c>
      <c r="N726" s="188">
        <v>0</v>
      </c>
      <c r="O726" s="188">
        <v>0</v>
      </c>
      <c r="P726" s="193"/>
    </row>
    <row r="727" spans="9:16">
      <c r="I727" s="186" t="s">
        <v>1801</v>
      </c>
      <c r="J727" s="188">
        <v>20</v>
      </c>
      <c r="K727" s="188">
        <v>0</v>
      </c>
      <c r="L727" s="188">
        <v>0</v>
      </c>
      <c r="M727" s="188">
        <v>0</v>
      </c>
      <c r="N727" s="188">
        <v>20</v>
      </c>
      <c r="O727" s="188">
        <v>0</v>
      </c>
      <c r="P727" s="193"/>
    </row>
    <row r="728" spans="9:16">
      <c r="I728" s="186" t="s">
        <v>1802</v>
      </c>
      <c r="J728" s="188">
        <v>0</v>
      </c>
      <c r="K728" s="188">
        <v>0</v>
      </c>
      <c r="L728" s="188">
        <v>765</v>
      </c>
      <c r="M728" s="188">
        <v>765</v>
      </c>
      <c r="N728" s="188">
        <v>0</v>
      </c>
      <c r="O728" s="188">
        <v>0</v>
      </c>
      <c r="P728" s="193"/>
    </row>
    <row r="729" spans="9:16">
      <c r="I729" s="186" t="s">
        <v>1803</v>
      </c>
      <c r="J729" s="188">
        <v>0</v>
      </c>
      <c r="K729" s="188">
        <v>0</v>
      </c>
      <c r="L729" s="188">
        <v>341.33411000000001</v>
      </c>
      <c r="M729" s="188">
        <v>0</v>
      </c>
      <c r="N729" s="188">
        <v>341.33411000000001</v>
      </c>
      <c r="O729" s="188">
        <v>0</v>
      </c>
      <c r="P729" s="193"/>
    </row>
    <row r="730" spans="9:16">
      <c r="I730" s="186" t="s">
        <v>1804</v>
      </c>
      <c r="J730" s="188">
        <v>0</v>
      </c>
      <c r="K730" s="188">
        <v>0</v>
      </c>
      <c r="L730" s="188">
        <v>42.5</v>
      </c>
      <c r="M730" s="188">
        <v>42.5</v>
      </c>
      <c r="N730" s="188">
        <v>0</v>
      </c>
      <c r="O730" s="188">
        <v>0</v>
      </c>
      <c r="P730" s="193"/>
    </row>
    <row r="731" spans="9:16">
      <c r="I731" s="186" t="s">
        <v>1805</v>
      </c>
      <c r="J731" s="188">
        <v>0</v>
      </c>
      <c r="K731" s="188">
        <v>0</v>
      </c>
      <c r="L731" s="188">
        <v>10890</v>
      </c>
      <c r="M731" s="188">
        <v>10890</v>
      </c>
      <c r="N731" s="188">
        <v>0</v>
      </c>
      <c r="O731" s="188">
        <v>0</v>
      </c>
      <c r="P731" s="193"/>
    </row>
    <row r="732" spans="9:16">
      <c r="I732" s="186" t="s">
        <v>1806</v>
      </c>
      <c r="J732" s="188">
        <v>0</v>
      </c>
      <c r="K732" s="188">
        <v>0</v>
      </c>
      <c r="L732" s="188">
        <v>542.34799999999996</v>
      </c>
      <c r="M732" s="188">
        <v>542.34799999999996</v>
      </c>
      <c r="N732" s="188">
        <v>0</v>
      </c>
      <c r="O732" s="188">
        <v>0</v>
      </c>
      <c r="P732" s="193"/>
    </row>
    <row r="733" spans="9:16">
      <c r="I733" s="186" t="s">
        <v>1101</v>
      </c>
      <c r="J733" s="188">
        <v>0</v>
      </c>
      <c r="K733" s="188">
        <v>0</v>
      </c>
      <c r="L733" s="188">
        <v>2494.9720000000002</v>
      </c>
      <c r="M733" s="188">
        <v>0</v>
      </c>
      <c r="N733" s="197">
        <v>2494.9720000000002</v>
      </c>
      <c r="O733" s="188">
        <v>0</v>
      </c>
      <c r="P733" s="193"/>
    </row>
    <row r="734" spans="9:16">
      <c r="I734" s="186" t="s">
        <v>1807</v>
      </c>
      <c r="J734" s="188">
        <v>10</v>
      </c>
      <c r="K734" s="188">
        <v>0</v>
      </c>
      <c r="L734" s="188">
        <v>74.5</v>
      </c>
      <c r="M734" s="188">
        <v>74.5</v>
      </c>
      <c r="N734" s="188">
        <v>10</v>
      </c>
      <c r="O734" s="188">
        <v>0</v>
      </c>
      <c r="P734" s="193"/>
    </row>
    <row r="735" spans="9:16">
      <c r="I735" s="186" t="s">
        <v>1808</v>
      </c>
      <c r="J735" s="188">
        <v>0</v>
      </c>
      <c r="K735" s="188">
        <v>0</v>
      </c>
      <c r="L735" s="188">
        <v>3889.7712000000001</v>
      </c>
      <c r="M735" s="188">
        <v>3889.7712000000001</v>
      </c>
      <c r="N735" s="188">
        <v>0</v>
      </c>
      <c r="O735" s="188">
        <v>0</v>
      </c>
      <c r="P735" s="193"/>
    </row>
    <row r="736" spans="9:16">
      <c r="I736" s="186" t="s">
        <v>1809</v>
      </c>
      <c r="J736" s="188">
        <v>0</v>
      </c>
      <c r="K736" s="188">
        <v>0</v>
      </c>
      <c r="L736" s="188">
        <v>2000</v>
      </c>
      <c r="M736" s="188">
        <v>2000</v>
      </c>
      <c r="N736" s="188">
        <v>0</v>
      </c>
      <c r="O736" s="188">
        <v>0</v>
      </c>
      <c r="P736" s="193"/>
    </row>
    <row r="737" spans="9:16">
      <c r="I737" s="186" t="s">
        <v>1810</v>
      </c>
      <c r="J737" s="188">
        <v>0</v>
      </c>
      <c r="K737" s="188">
        <v>0</v>
      </c>
      <c r="L737" s="188">
        <v>11322.93376</v>
      </c>
      <c r="M737" s="188">
        <v>11322.93376</v>
      </c>
      <c r="N737" s="188">
        <v>0</v>
      </c>
      <c r="O737" s="188">
        <v>0</v>
      </c>
      <c r="P737" s="193"/>
    </row>
    <row r="738" spans="9:16">
      <c r="I738" s="186" t="s">
        <v>1811</v>
      </c>
      <c r="J738" s="188">
        <v>0</v>
      </c>
      <c r="K738" s="188">
        <v>0</v>
      </c>
      <c r="L738" s="188">
        <v>10894.026</v>
      </c>
      <c r="M738" s="188">
        <v>10894.026</v>
      </c>
      <c r="N738" s="188">
        <v>0</v>
      </c>
      <c r="O738" s="188">
        <v>0</v>
      </c>
      <c r="P738" s="193"/>
    </row>
    <row r="739" spans="9:16">
      <c r="I739" s="186" t="s">
        <v>1812</v>
      </c>
      <c r="J739" s="188">
        <v>180</v>
      </c>
      <c r="K739" s="188">
        <v>0</v>
      </c>
      <c r="L739" s="188">
        <v>270</v>
      </c>
      <c r="M739" s="188">
        <v>450</v>
      </c>
      <c r="N739" s="188">
        <v>0</v>
      </c>
      <c r="O739" s="188">
        <v>0</v>
      </c>
      <c r="P739" s="193"/>
    </row>
    <row r="740" spans="9:16">
      <c r="I740" s="186" t="s">
        <v>1813</v>
      </c>
      <c r="J740" s="188">
        <v>316</v>
      </c>
      <c r="K740" s="188">
        <v>0</v>
      </c>
      <c r="L740" s="188">
        <v>66</v>
      </c>
      <c r="M740" s="188">
        <v>123</v>
      </c>
      <c r="N740" s="188">
        <v>259</v>
      </c>
      <c r="O740" s="188">
        <v>0</v>
      </c>
      <c r="P740" s="193"/>
    </row>
    <row r="741" spans="9:16">
      <c r="I741" s="186" t="s">
        <v>1814</v>
      </c>
      <c r="J741" s="188">
        <v>0</v>
      </c>
      <c r="K741" s="188">
        <v>0</v>
      </c>
      <c r="L741" s="188">
        <v>116.4</v>
      </c>
      <c r="M741" s="188">
        <v>116.4</v>
      </c>
      <c r="N741" s="188">
        <v>0</v>
      </c>
      <c r="O741" s="188">
        <v>0</v>
      </c>
      <c r="P741" s="193"/>
    </row>
    <row r="742" spans="9:16">
      <c r="I742" s="186" t="s">
        <v>1815</v>
      </c>
      <c r="J742" s="188">
        <v>8.0519999999999996</v>
      </c>
      <c r="K742" s="188">
        <v>0</v>
      </c>
      <c r="L742" s="188">
        <v>0</v>
      </c>
      <c r="M742" s="188">
        <v>8.0519999999999996</v>
      </c>
      <c r="N742" s="188">
        <v>0</v>
      </c>
      <c r="O742" s="188">
        <v>0</v>
      </c>
      <c r="P742" s="193"/>
    </row>
    <row r="743" spans="9:16">
      <c r="I743" s="186" t="s">
        <v>1816</v>
      </c>
      <c r="J743" s="188">
        <v>0</v>
      </c>
      <c r="K743" s="188">
        <v>0</v>
      </c>
      <c r="L743" s="188">
        <v>428.70299999999997</v>
      </c>
      <c r="M743" s="188">
        <v>428.70299999999997</v>
      </c>
      <c r="N743" s="188">
        <v>0</v>
      </c>
      <c r="O743" s="188">
        <v>0</v>
      </c>
      <c r="P743" s="193"/>
    </row>
    <row r="744" spans="9:16">
      <c r="I744" s="186" t="s">
        <v>1817</v>
      </c>
      <c r="J744" s="188">
        <v>505.21499999999997</v>
      </c>
      <c r="K744" s="188">
        <v>0</v>
      </c>
      <c r="L744" s="188">
        <v>0</v>
      </c>
      <c r="M744" s="188">
        <v>0</v>
      </c>
      <c r="N744" s="188">
        <v>505.21499999999997</v>
      </c>
      <c r="O744" s="188">
        <v>0</v>
      </c>
      <c r="P744" s="193"/>
    </row>
    <row r="745" spans="9:16">
      <c r="I745" s="186" t="s">
        <v>1818</v>
      </c>
      <c r="J745" s="188">
        <v>0</v>
      </c>
      <c r="K745" s="188">
        <v>0</v>
      </c>
      <c r="L745" s="188">
        <v>1695.0131299999998</v>
      </c>
      <c r="M745" s="188">
        <v>1362.8456299999998</v>
      </c>
      <c r="N745" s="188">
        <v>332.16750000000002</v>
      </c>
      <c r="O745" s="188">
        <v>0</v>
      </c>
      <c r="P745" s="193"/>
    </row>
    <row r="746" spans="9:16">
      <c r="I746" s="186" t="s">
        <v>1819</v>
      </c>
      <c r="J746" s="188">
        <v>0</v>
      </c>
      <c r="K746" s="188">
        <v>0</v>
      </c>
      <c r="L746" s="188">
        <v>10200</v>
      </c>
      <c r="M746" s="188">
        <v>10200</v>
      </c>
      <c r="N746" s="188">
        <v>0</v>
      </c>
      <c r="O746" s="188">
        <v>0</v>
      </c>
      <c r="P746" s="193"/>
    </row>
    <row r="747" spans="9:16">
      <c r="I747" s="186" t="s">
        <v>1820</v>
      </c>
      <c r="J747" s="188">
        <v>0</v>
      </c>
      <c r="K747" s="188">
        <v>0</v>
      </c>
      <c r="L747" s="188">
        <v>290.45999999999998</v>
      </c>
      <c r="M747" s="188">
        <v>290.45999999999998</v>
      </c>
      <c r="N747" s="188">
        <v>0</v>
      </c>
      <c r="O747" s="188">
        <v>0</v>
      </c>
      <c r="P747" s="193"/>
    </row>
    <row r="748" spans="9:16">
      <c r="I748" s="186" t="s">
        <v>1821</v>
      </c>
      <c r="J748" s="188">
        <v>0</v>
      </c>
      <c r="K748" s="188">
        <v>0</v>
      </c>
      <c r="L748" s="188">
        <v>79975.614620000008</v>
      </c>
      <c r="M748" s="188">
        <v>79975.614620000008</v>
      </c>
      <c r="N748" s="188">
        <v>0</v>
      </c>
      <c r="O748" s="188">
        <v>0</v>
      </c>
      <c r="P748" s="193"/>
    </row>
    <row r="749" spans="9:16">
      <c r="I749" s="186" t="s">
        <v>1822</v>
      </c>
      <c r="J749" s="188">
        <v>0</v>
      </c>
      <c r="K749" s="188">
        <v>0</v>
      </c>
      <c r="L749" s="188">
        <v>40</v>
      </c>
      <c r="M749" s="188">
        <v>40</v>
      </c>
      <c r="N749" s="188">
        <v>0</v>
      </c>
      <c r="O749" s="188">
        <v>0</v>
      </c>
      <c r="P749" s="193"/>
    </row>
    <row r="750" spans="9:16">
      <c r="I750" s="186" t="s">
        <v>1823</v>
      </c>
      <c r="J750" s="188">
        <v>0</v>
      </c>
      <c r="K750" s="188">
        <v>0</v>
      </c>
      <c r="L750" s="188">
        <v>11000</v>
      </c>
      <c r="M750" s="188">
        <v>11000</v>
      </c>
      <c r="N750" s="188">
        <v>0</v>
      </c>
      <c r="O750" s="188">
        <v>0</v>
      </c>
      <c r="P750" s="193"/>
    </row>
    <row r="751" spans="9:16">
      <c r="I751" s="186" t="s">
        <v>1824</v>
      </c>
      <c r="J751" s="188">
        <v>0</v>
      </c>
      <c r="K751" s="188">
        <v>0</v>
      </c>
      <c r="L751" s="188">
        <v>1061.77891</v>
      </c>
      <c r="M751" s="188">
        <v>1061.77891</v>
      </c>
      <c r="N751" s="188">
        <v>0</v>
      </c>
      <c r="O751" s="188">
        <v>0</v>
      </c>
      <c r="P751" s="193"/>
    </row>
    <row r="752" spans="9:16">
      <c r="I752" s="186" t="s">
        <v>1825</v>
      </c>
      <c r="J752" s="188">
        <v>0</v>
      </c>
      <c r="K752" s="188">
        <v>0</v>
      </c>
      <c r="L752" s="188">
        <v>10861.815199999999</v>
      </c>
      <c r="M752" s="188">
        <v>10861.815199999999</v>
      </c>
      <c r="N752" s="188">
        <v>0</v>
      </c>
      <c r="O752" s="188">
        <v>0</v>
      </c>
      <c r="P752" s="193"/>
    </row>
    <row r="753" spans="9:16">
      <c r="I753" s="186" t="s">
        <v>1826</v>
      </c>
      <c r="J753" s="188">
        <v>0</v>
      </c>
      <c r="K753" s="188">
        <v>0</v>
      </c>
      <c r="L753" s="188">
        <v>68</v>
      </c>
      <c r="M753" s="188">
        <v>68</v>
      </c>
      <c r="N753" s="188">
        <v>0</v>
      </c>
      <c r="O753" s="188">
        <v>0</v>
      </c>
      <c r="P753" s="193"/>
    </row>
    <row r="754" spans="9:16">
      <c r="I754" s="186" t="s">
        <v>1827</v>
      </c>
      <c r="J754" s="188">
        <v>0</v>
      </c>
      <c r="K754" s="188">
        <v>0</v>
      </c>
      <c r="L754" s="188">
        <v>600</v>
      </c>
      <c r="M754" s="188">
        <v>600</v>
      </c>
      <c r="N754" s="188">
        <v>0</v>
      </c>
      <c r="O754" s="188">
        <v>0</v>
      </c>
      <c r="P754" s="193"/>
    </row>
    <row r="755" spans="9:16">
      <c r="I755" s="186" t="s">
        <v>1828</v>
      </c>
      <c r="J755" s="188">
        <v>0</v>
      </c>
      <c r="K755" s="188">
        <v>0</v>
      </c>
      <c r="L755" s="188">
        <v>24.2</v>
      </c>
      <c r="M755" s="188">
        <v>24.2</v>
      </c>
      <c r="N755" s="188">
        <v>0</v>
      </c>
      <c r="O755" s="188">
        <v>0</v>
      </c>
      <c r="P755" s="193"/>
    </row>
    <row r="756" spans="9:16">
      <c r="I756" s="186" t="s">
        <v>1829</v>
      </c>
      <c r="J756" s="188">
        <v>0</v>
      </c>
      <c r="K756" s="188">
        <v>0</v>
      </c>
      <c r="L756" s="188">
        <v>302.60000000000002</v>
      </c>
      <c r="M756" s="188">
        <v>302.60000000000002</v>
      </c>
      <c r="N756" s="188">
        <v>0</v>
      </c>
      <c r="O756" s="188">
        <v>0</v>
      </c>
      <c r="P756" s="193"/>
    </row>
    <row r="757" spans="9:16">
      <c r="I757" s="186" t="s">
        <v>1830</v>
      </c>
      <c r="J757" s="188">
        <v>0</v>
      </c>
      <c r="K757" s="188">
        <v>0</v>
      </c>
      <c r="L757" s="188">
        <v>37.85</v>
      </c>
      <c r="M757" s="188">
        <v>37.85</v>
      </c>
      <c r="N757" s="188">
        <v>0</v>
      </c>
      <c r="O757" s="188">
        <v>0</v>
      </c>
      <c r="P757" s="193"/>
    </row>
    <row r="758" spans="9:16">
      <c r="I758" s="186" t="s">
        <v>1831</v>
      </c>
      <c r="J758" s="188">
        <v>0</v>
      </c>
      <c r="K758" s="188">
        <v>0</v>
      </c>
      <c r="L758" s="188">
        <v>804.02959999999996</v>
      </c>
      <c r="M758" s="188">
        <v>728.20159999999998</v>
      </c>
      <c r="N758" s="188">
        <v>75.828000000000003</v>
      </c>
      <c r="O758" s="188">
        <v>0</v>
      </c>
      <c r="P758" s="193"/>
    </row>
    <row r="759" spans="9:16">
      <c r="I759" s="186" t="s">
        <v>1832</v>
      </c>
      <c r="J759" s="188">
        <v>1079.8399999999999</v>
      </c>
      <c r="K759" s="188">
        <v>0</v>
      </c>
      <c r="L759" s="188">
        <v>0</v>
      </c>
      <c r="M759" s="188">
        <v>1079.8399999999999</v>
      </c>
      <c r="N759" s="188">
        <v>0</v>
      </c>
      <c r="O759" s="188">
        <v>0</v>
      </c>
      <c r="P759" s="193"/>
    </row>
    <row r="760" spans="9:16">
      <c r="I760" s="186" t="s">
        <v>1833</v>
      </c>
      <c r="J760" s="188">
        <v>2077.6</v>
      </c>
      <c r="K760" s="188">
        <v>0</v>
      </c>
      <c r="L760" s="188">
        <v>28191.538479999999</v>
      </c>
      <c r="M760" s="188">
        <v>27423.750479999999</v>
      </c>
      <c r="N760" s="188">
        <v>2845.3879999999999</v>
      </c>
      <c r="O760" s="188">
        <v>0</v>
      </c>
      <c r="P760" s="193"/>
    </row>
    <row r="761" spans="9:16">
      <c r="I761" s="186" t="s">
        <v>1834</v>
      </c>
      <c r="J761" s="188">
        <v>0</v>
      </c>
      <c r="K761" s="188">
        <v>0</v>
      </c>
      <c r="L761" s="188">
        <v>12073.352000000001</v>
      </c>
      <c r="M761" s="188">
        <v>12073.352000000001</v>
      </c>
      <c r="N761" s="188">
        <v>0</v>
      </c>
      <c r="O761" s="188">
        <v>0</v>
      </c>
      <c r="P761" s="193"/>
    </row>
    <row r="762" spans="9:16">
      <c r="I762" s="186" t="s">
        <v>1835</v>
      </c>
      <c r="J762" s="188">
        <v>0</v>
      </c>
      <c r="K762" s="188">
        <v>0</v>
      </c>
      <c r="L762" s="188">
        <v>4500</v>
      </c>
      <c r="M762" s="188">
        <v>4500</v>
      </c>
      <c r="N762" s="188">
        <v>0</v>
      </c>
      <c r="O762" s="188">
        <v>0</v>
      </c>
      <c r="P762" s="193"/>
    </row>
    <row r="763" spans="9:16">
      <c r="I763" s="186" t="s">
        <v>1836</v>
      </c>
      <c r="J763" s="188">
        <v>0</v>
      </c>
      <c r="K763" s="188">
        <v>0</v>
      </c>
      <c r="L763" s="188">
        <v>463.22</v>
      </c>
      <c r="M763" s="188">
        <v>444.72</v>
      </c>
      <c r="N763" s="188">
        <v>18.5</v>
      </c>
      <c r="O763" s="188">
        <v>0</v>
      </c>
      <c r="P763" s="193"/>
    </row>
    <row r="764" spans="9:16">
      <c r="I764" s="186" t="s">
        <v>1837</v>
      </c>
      <c r="J764" s="188">
        <v>0</v>
      </c>
      <c r="K764" s="188">
        <v>0</v>
      </c>
      <c r="L764" s="188">
        <v>138</v>
      </c>
      <c r="M764" s="188">
        <v>138</v>
      </c>
      <c r="N764" s="188">
        <v>0</v>
      </c>
      <c r="O764" s="188">
        <v>0</v>
      </c>
      <c r="P764" s="193"/>
    </row>
    <row r="765" spans="9:16">
      <c r="I765" s="186" t="s">
        <v>1838</v>
      </c>
      <c r="J765" s="188">
        <v>0</v>
      </c>
      <c r="K765" s="188">
        <v>0</v>
      </c>
      <c r="L765" s="188">
        <v>7385.2</v>
      </c>
      <c r="M765" s="188">
        <v>7385.2</v>
      </c>
      <c r="N765" s="188">
        <v>0</v>
      </c>
      <c r="O765" s="188">
        <v>0</v>
      </c>
      <c r="P765" s="193"/>
    </row>
    <row r="766" spans="9:16">
      <c r="I766" s="186" t="s">
        <v>1112</v>
      </c>
      <c r="J766" s="188">
        <v>0</v>
      </c>
      <c r="K766" s="188">
        <v>0</v>
      </c>
      <c r="L766" s="188">
        <v>150</v>
      </c>
      <c r="M766" s="188">
        <v>150</v>
      </c>
      <c r="N766" s="188">
        <v>0</v>
      </c>
      <c r="O766" s="188">
        <v>0</v>
      </c>
      <c r="P766" s="193"/>
    </row>
    <row r="767" spans="9:16">
      <c r="I767" s="186" t="s">
        <v>1839</v>
      </c>
      <c r="J767" s="188">
        <v>0</v>
      </c>
      <c r="K767" s="188">
        <v>0</v>
      </c>
      <c r="L767" s="188">
        <v>98.2</v>
      </c>
      <c r="M767" s="188">
        <v>98.2</v>
      </c>
      <c r="N767" s="188">
        <v>0</v>
      </c>
      <c r="O767" s="188">
        <v>0</v>
      </c>
      <c r="P767" s="193"/>
    </row>
    <row r="768" spans="9:16">
      <c r="I768" s="186" t="s">
        <v>1840</v>
      </c>
      <c r="J768" s="188">
        <v>0</v>
      </c>
      <c r="K768" s="188">
        <v>0</v>
      </c>
      <c r="L768" s="188">
        <v>172</v>
      </c>
      <c r="M768" s="188">
        <v>172</v>
      </c>
      <c r="N768" s="188">
        <v>0</v>
      </c>
      <c r="O768" s="188">
        <v>0</v>
      </c>
      <c r="P768" s="193"/>
    </row>
    <row r="769" spans="9:16">
      <c r="I769" s="186" t="s">
        <v>1841</v>
      </c>
      <c r="J769" s="188">
        <v>0</v>
      </c>
      <c r="K769" s="188">
        <v>0</v>
      </c>
      <c r="L769" s="188">
        <v>7851.2474699999993</v>
      </c>
      <c r="M769" s="188">
        <v>7850.7270399999998</v>
      </c>
      <c r="N769" s="188">
        <v>0.52042999999999995</v>
      </c>
      <c r="O769" s="188">
        <v>0</v>
      </c>
      <c r="P769" s="193"/>
    </row>
    <row r="770" spans="9:16">
      <c r="I770" s="186" t="s">
        <v>1842</v>
      </c>
      <c r="J770" s="188">
        <v>11.345000000000001</v>
      </c>
      <c r="K770" s="188">
        <v>0</v>
      </c>
      <c r="L770" s="188">
        <v>0</v>
      </c>
      <c r="M770" s="188">
        <v>11.345000000000001</v>
      </c>
      <c r="N770" s="188">
        <v>0</v>
      </c>
      <c r="O770" s="188">
        <v>0</v>
      </c>
      <c r="P770" s="193"/>
    </row>
    <row r="771" spans="9:16">
      <c r="I771" s="186" t="s">
        <v>1114</v>
      </c>
      <c r="J771" s="188">
        <v>0</v>
      </c>
      <c r="K771" s="188">
        <v>0</v>
      </c>
      <c r="L771" s="188">
        <v>1501.03296</v>
      </c>
      <c r="M771" s="188">
        <v>1501.03296</v>
      </c>
      <c r="N771" s="188">
        <v>0</v>
      </c>
      <c r="O771" s="188">
        <v>0</v>
      </c>
      <c r="P771" s="193"/>
    </row>
    <row r="772" spans="9:16">
      <c r="I772" s="186" t="s">
        <v>1843</v>
      </c>
      <c r="J772" s="188">
        <v>273</v>
      </c>
      <c r="K772" s="188">
        <v>0</v>
      </c>
      <c r="L772" s="188">
        <v>8870</v>
      </c>
      <c r="M772" s="188">
        <v>9143</v>
      </c>
      <c r="N772" s="188">
        <v>0</v>
      </c>
      <c r="O772" s="188">
        <v>0</v>
      </c>
      <c r="P772" s="193"/>
    </row>
    <row r="773" spans="9:16">
      <c r="I773" s="186" t="s">
        <v>1844</v>
      </c>
      <c r="J773" s="188">
        <v>233.49696</v>
      </c>
      <c r="K773" s="188">
        <v>0</v>
      </c>
      <c r="L773" s="188">
        <v>6313.44</v>
      </c>
      <c r="M773" s="188">
        <v>6294.93696</v>
      </c>
      <c r="N773" s="188">
        <v>252</v>
      </c>
      <c r="O773" s="188">
        <v>0</v>
      </c>
      <c r="P773" s="193"/>
    </row>
    <row r="774" spans="9:16">
      <c r="I774" s="186" t="s">
        <v>1845</v>
      </c>
      <c r="J774" s="188">
        <v>0</v>
      </c>
      <c r="K774" s="188">
        <v>0</v>
      </c>
      <c r="L774" s="188">
        <v>60</v>
      </c>
      <c r="M774" s="188">
        <v>60</v>
      </c>
      <c r="N774" s="188">
        <v>0</v>
      </c>
      <c r="O774" s="188">
        <v>0</v>
      </c>
      <c r="P774" s="193"/>
    </row>
    <row r="775" spans="9:16">
      <c r="I775" s="186" t="s">
        <v>1846</v>
      </c>
      <c r="J775" s="188">
        <v>2635</v>
      </c>
      <c r="K775" s="188">
        <v>0</v>
      </c>
      <c r="L775" s="188">
        <v>0</v>
      </c>
      <c r="M775" s="188">
        <v>500</v>
      </c>
      <c r="N775" s="188">
        <v>2135</v>
      </c>
      <c r="O775" s="188">
        <v>0</v>
      </c>
      <c r="P775" s="193"/>
    </row>
    <row r="776" spans="9:16">
      <c r="I776" s="186" t="s">
        <v>1847</v>
      </c>
      <c r="J776" s="188">
        <v>150</v>
      </c>
      <c r="K776" s="188">
        <v>0</v>
      </c>
      <c r="L776" s="188">
        <v>0</v>
      </c>
      <c r="M776" s="188">
        <v>0</v>
      </c>
      <c r="N776" s="188">
        <v>150</v>
      </c>
      <c r="O776" s="188">
        <v>0</v>
      </c>
      <c r="P776" s="193"/>
    </row>
    <row r="777" spans="9:16">
      <c r="I777" s="186" t="s">
        <v>1848</v>
      </c>
      <c r="J777" s="188">
        <v>0</v>
      </c>
      <c r="K777" s="188">
        <v>0</v>
      </c>
      <c r="L777" s="188">
        <v>190123.04050999999</v>
      </c>
      <c r="M777" s="188">
        <v>190123.04050999999</v>
      </c>
      <c r="N777" s="188">
        <v>0</v>
      </c>
      <c r="O777" s="188">
        <v>0</v>
      </c>
      <c r="P777" s="193"/>
    </row>
    <row r="778" spans="9:16">
      <c r="I778" s="186" t="s">
        <v>1849</v>
      </c>
      <c r="J778" s="188">
        <v>0</v>
      </c>
      <c r="K778" s="188">
        <v>0</v>
      </c>
      <c r="L778" s="188">
        <v>198</v>
      </c>
      <c r="M778" s="188">
        <v>198</v>
      </c>
      <c r="N778" s="188">
        <v>0</v>
      </c>
      <c r="O778" s="188">
        <v>0</v>
      </c>
      <c r="P778" s="193"/>
    </row>
    <row r="779" spans="9:16">
      <c r="I779" s="186" t="s">
        <v>1850</v>
      </c>
      <c r="J779" s="188">
        <v>0</v>
      </c>
      <c r="K779" s="188">
        <v>0</v>
      </c>
      <c r="L779" s="188">
        <v>16.3</v>
      </c>
      <c r="M779" s="188">
        <v>16.3</v>
      </c>
      <c r="N779" s="188">
        <v>0</v>
      </c>
      <c r="O779" s="188">
        <v>0</v>
      </c>
      <c r="P779" s="193"/>
    </row>
    <row r="780" spans="9:16">
      <c r="I780" s="186" t="s">
        <v>1851</v>
      </c>
      <c r="J780" s="188">
        <v>0</v>
      </c>
      <c r="K780" s="188">
        <v>0</v>
      </c>
      <c r="L780" s="188">
        <v>3179.7240000000002</v>
      </c>
      <c r="M780" s="188">
        <v>3179.7240000000002</v>
      </c>
      <c r="N780" s="188">
        <v>0</v>
      </c>
      <c r="O780" s="188">
        <v>0</v>
      </c>
      <c r="P780" s="193"/>
    </row>
    <row r="781" spans="9:16">
      <c r="I781" s="186" t="s">
        <v>1852</v>
      </c>
      <c r="J781" s="188">
        <v>0</v>
      </c>
      <c r="K781" s="188">
        <v>0</v>
      </c>
      <c r="L781" s="188">
        <v>550.04</v>
      </c>
      <c r="M781" s="188">
        <v>550.04</v>
      </c>
      <c r="N781" s="188">
        <v>0</v>
      </c>
      <c r="O781" s="188">
        <v>0</v>
      </c>
      <c r="P781" s="193"/>
    </row>
    <row r="782" spans="9:16">
      <c r="I782" s="186" t="s">
        <v>1853</v>
      </c>
      <c r="J782" s="188">
        <v>0</v>
      </c>
      <c r="K782" s="188">
        <v>0</v>
      </c>
      <c r="L782" s="188">
        <v>193.69</v>
      </c>
      <c r="M782" s="188">
        <v>193.69</v>
      </c>
      <c r="N782" s="188">
        <v>0</v>
      </c>
      <c r="O782" s="188">
        <v>0</v>
      </c>
      <c r="P782" s="193"/>
    </row>
    <row r="783" spans="9:16">
      <c r="I783" s="186" t="s">
        <v>1854</v>
      </c>
      <c r="J783" s="188">
        <v>90</v>
      </c>
      <c r="K783" s="188">
        <v>0</v>
      </c>
      <c r="L783" s="188">
        <v>0</v>
      </c>
      <c r="M783" s="188">
        <v>0</v>
      </c>
      <c r="N783" s="188">
        <v>90</v>
      </c>
      <c r="O783" s="188">
        <v>0</v>
      </c>
      <c r="P783" s="193"/>
    </row>
    <row r="784" spans="9:16">
      <c r="I784" s="186" t="s">
        <v>1855</v>
      </c>
      <c r="J784" s="188">
        <v>0</v>
      </c>
      <c r="K784" s="188">
        <v>0</v>
      </c>
      <c r="L784" s="188">
        <v>101</v>
      </c>
      <c r="M784" s="188">
        <v>97</v>
      </c>
      <c r="N784" s="188">
        <v>4</v>
      </c>
      <c r="O784" s="188">
        <v>0</v>
      </c>
      <c r="P784" s="193"/>
    </row>
    <row r="785" spans="9:16">
      <c r="I785" s="186" t="s">
        <v>1856</v>
      </c>
      <c r="J785" s="188">
        <v>0</v>
      </c>
      <c r="K785" s="188">
        <v>0</v>
      </c>
      <c r="L785" s="188">
        <v>200.67</v>
      </c>
      <c r="M785" s="188">
        <v>200.67</v>
      </c>
      <c r="N785" s="188">
        <v>0</v>
      </c>
      <c r="O785" s="188">
        <v>0</v>
      </c>
      <c r="P785" s="193"/>
    </row>
    <row r="786" spans="9:16">
      <c r="I786" s="186" t="s">
        <v>1857</v>
      </c>
      <c r="J786" s="188">
        <v>7.1999999999999994E-4</v>
      </c>
      <c r="K786" s="188">
        <v>0</v>
      </c>
      <c r="L786" s="188">
        <v>7270.5349999999999</v>
      </c>
      <c r="M786" s="188">
        <v>7270.5357199999999</v>
      </c>
      <c r="N786" s="188">
        <v>0</v>
      </c>
      <c r="O786" s="188">
        <v>0</v>
      </c>
      <c r="P786" s="193"/>
    </row>
    <row r="787" spans="9:16">
      <c r="I787" s="186" t="s">
        <v>1858</v>
      </c>
      <c r="J787" s="188">
        <v>0</v>
      </c>
      <c r="K787" s="188">
        <v>0</v>
      </c>
      <c r="L787" s="188">
        <v>4822.3950000000004</v>
      </c>
      <c r="M787" s="188">
        <v>4822.3950000000004</v>
      </c>
      <c r="N787" s="188">
        <v>0</v>
      </c>
      <c r="O787" s="188">
        <v>0</v>
      </c>
      <c r="P787" s="193"/>
    </row>
    <row r="788" spans="9:16">
      <c r="I788" s="186" t="s">
        <v>1859</v>
      </c>
      <c r="J788" s="188">
        <v>7250</v>
      </c>
      <c r="K788" s="188">
        <v>0</v>
      </c>
      <c r="L788" s="188">
        <v>7250</v>
      </c>
      <c r="M788" s="188">
        <v>14500</v>
      </c>
      <c r="N788" s="188">
        <v>0</v>
      </c>
      <c r="O788" s="188">
        <v>0</v>
      </c>
      <c r="P788" s="193"/>
    </row>
    <row r="789" spans="9:16">
      <c r="I789" s="186" t="s">
        <v>1860</v>
      </c>
      <c r="J789" s="188">
        <v>523.75631999999996</v>
      </c>
      <c r="K789" s="188">
        <v>0</v>
      </c>
      <c r="L789" s="188">
        <v>5479.3974200000002</v>
      </c>
      <c r="M789" s="188">
        <v>5502.8780999999999</v>
      </c>
      <c r="N789" s="188">
        <v>500.27564000000001</v>
      </c>
      <c r="O789" s="188">
        <v>0</v>
      </c>
      <c r="P789" s="193"/>
    </row>
    <row r="790" spans="9:16">
      <c r="I790" s="186" t="s">
        <v>1861</v>
      </c>
      <c r="J790" s="188">
        <v>0</v>
      </c>
      <c r="K790" s="188">
        <v>0</v>
      </c>
      <c r="L790" s="188">
        <v>2099.6999999999998</v>
      </c>
      <c r="M790" s="188">
        <v>2099.6999999999998</v>
      </c>
      <c r="N790" s="188">
        <v>0</v>
      </c>
      <c r="O790" s="188">
        <v>0</v>
      </c>
      <c r="P790" s="193"/>
    </row>
    <row r="791" spans="9:16">
      <c r="I791" s="186" t="s">
        <v>1862</v>
      </c>
      <c r="J791" s="188">
        <v>0</v>
      </c>
      <c r="K791" s="188">
        <v>0</v>
      </c>
      <c r="L791" s="188">
        <v>781.93</v>
      </c>
      <c r="M791" s="188">
        <v>781.93</v>
      </c>
      <c r="N791" s="188">
        <v>0</v>
      </c>
      <c r="O791" s="188">
        <v>0</v>
      </c>
      <c r="P791" s="193"/>
    </row>
    <row r="792" spans="9:16">
      <c r="I792" s="186" t="s">
        <v>1863</v>
      </c>
      <c r="J792" s="188">
        <v>7.0000000000000007E-5</v>
      </c>
      <c r="K792" s="188">
        <v>0</v>
      </c>
      <c r="L792" s="188">
        <v>0</v>
      </c>
      <c r="M792" s="188">
        <v>7.0000000000000007E-5</v>
      </c>
      <c r="N792" s="188">
        <v>0</v>
      </c>
      <c r="O792" s="188">
        <v>0</v>
      </c>
      <c r="P792" s="193"/>
    </row>
    <row r="793" spans="9:16">
      <c r="I793" s="186" t="s">
        <v>1864</v>
      </c>
      <c r="J793" s="188">
        <v>0</v>
      </c>
      <c r="K793" s="188">
        <v>0</v>
      </c>
      <c r="L793" s="188">
        <v>1943.91</v>
      </c>
      <c r="M793" s="188">
        <v>1943.91</v>
      </c>
      <c r="N793" s="188">
        <v>0</v>
      </c>
      <c r="O793" s="188">
        <v>0</v>
      </c>
      <c r="P793" s="193"/>
    </row>
    <row r="794" spans="9:16">
      <c r="I794" s="186" t="s">
        <v>1865</v>
      </c>
      <c r="J794" s="188">
        <v>0</v>
      </c>
      <c r="K794" s="188">
        <v>0</v>
      </c>
      <c r="L794" s="188">
        <v>11235.16562</v>
      </c>
      <c r="M794" s="188">
        <v>11235.16562</v>
      </c>
      <c r="N794" s="188">
        <v>0</v>
      </c>
      <c r="O794" s="188">
        <v>0</v>
      </c>
      <c r="P794" s="193"/>
    </row>
    <row r="795" spans="9:16">
      <c r="I795" s="186" t="s">
        <v>1866</v>
      </c>
      <c r="J795" s="188">
        <v>0</v>
      </c>
      <c r="K795" s="188">
        <v>0</v>
      </c>
      <c r="L795" s="188">
        <v>14105.457199999999</v>
      </c>
      <c r="M795" s="188">
        <v>14105.457199999999</v>
      </c>
      <c r="N795" s="188">
        <v>0</v>
      </c>
      <c r="O795" s="188">
        <v>0</v>
      </c>
      <c r="P795" s="193"/>
    </row>
    <row r="796" spans="9:16">
      <c r="I796" s="186" t="s">
        <v>1867</v>
      </c>
      <c r="J796" s="188">
        <v>0</v>
      </c>
      <c r="K796" s="188">
        <v>0</v>
      </c>
      <c r="L796" s="188">
        <v>210</v>
      </c>
      <c r="M796" s="188">
        <v>210</v>
      </c>
      <c r="N796" s="188">
        <v>0</v>
      </c>
      <c r="O796" s="188">
        <v>0</v>
      </c>
      <c r="P796" s="193"/>
    </row>
    <row r="797" spans="9:16">
      <c r="I797" s="186" t="s">
        <v>1868</v>
      </c>
      <c r="J797" s="188">
        <v>0</v>
      </c>
      <c r="K797" s="188">
        <v>0</v>
      </c>
      <c r="L797" s="188">
        <v>839.55604000000005</v>
      </c>
      <c r="M797" s="188">
        <v>839.55604000000005</v>
      </c>
      <c r="N797" s="188">
        <v>0</v>
      </c>
      <c r="O797" s="188">
        <v>0</v>
      </c>
      <c r="P797" s="193"/>
    </row>
    <row r="798" spans="9:16">
      <c r="I798" s="186" t="s">
        <v>1869</v>
      </c>
      <c r="J798" s="188">
        <v>0</v>
      </c>
      <c r="K798" s="188">
        <v>0</v>
      </c>
      <c r="L798" s="188">
        <v>1076.09376</v>
      </c>
      <c r="M798" s="188">
        <v>1076.09376</v>
      </c>
      <c r="N798" s="188">
        <v>0</v>
      </c>
      <c r="O798" s="188">
        <v>0</v>
      </c>
      <c r="P798" s="193"/>
    </row>
    <row r="799" spans="9:16">
      <c r="I799" s="186" t="s">
        <v>1870</v>
      </c>
      <c r="J799" s="188">
        <v>0</v>
      </c>
      <c r="K799" s="188">
        <v>0</v>
      </c>
      <c r="L799" s="188">
        <v>7741.5844800000004</v>
      </c>
      <c r="M799" s="188">
        <v>7741.5844800000004</v>
      </c>
      <c r="N799" s="188">
        <v>0</v>
      </c>
      <c r="O799" s="188">
        <v>0</v>
      </c>
      <c r="P799" s="193"/>
    </row>
    <row r="800" spans="9:16">
      <c r="I800" s="186" t="s">
        <v>1871</v>
      </c>
      <c r="J800" s="188">
        <v>0</v>
      </c>
      <c r="K800" s="188">
        <v>0</v>
      </c>
      <c r="L800" s="188">
        <v>4720.4355099999993</v>
      </c>
      <c r="M800" s="188">
        <v>4720.4355099999993</v>
      </c>
      <c r="N800" s="188">
        <v>0</v>
      </c>
      <c r="O800" s="188">
        <v>0</v>
      </c>
      <c r="P800" s="193"/>
    </row>
    <row r="801" spans="9:16">
      <c r="I801" s="186" t="s">
        <v>1872</v>
      </c>
      <c r="J801" s="188">
        <v>0</v>
      </c>
      <c r="K801" s="188">
        <v>0</v>
      </c>
      <c r="L801" s="188">
        <v>4337.1049999999996</v>
      </c>
      <c r="M801" s="188">
        <v>4337.1049999999996</v>
      </c>
      <c r="N801" s="188">
        <v>0</v>
      </c>
      <c r="O801" s="188">
        <v>0</v>
      </c>
      <c r="P801" s="193"/>
    </row>
    <row r="802" spans="9:16">
      <c r="I802" s="186" t="s">
        <v>1873</v>
      </c>
      <c r="J802" s="188">
        <v>0</v>
      </c>
      <c r="K802" s="188">
        <v>0</v>
      </c>
      <c r="L802" s="188">
        <v>160</v>
      </c>
      <c r="M802" s="188">
        <v>160</v>
      </c>
      <c r="N802" s="188">
        <v>0</v>
      </c>
      <c r="O802" s="188">
        <v>0</v>
      </c>
      <c r="P802" s="193"/>
    </row>
    <row r="803" spans="9:16">
      <c r="I803" s="186" t="s">
        <v>1874</v>
      </c>
      <c r="J803" s="188">
        <v>0</v>
      </c>
      <c r="K803" s="188">
        <v>0</v>
      </c>
      <c r="L803" s="188">
        <v>4168.6530000000002</v>
      </c>
      <c r="M803" s="188">
        <v>4168.6530000000002</v>
      </c>
      <c r="N803" s="188">
        <v>0</v>
      </c>
      <c r="O803" s="188">
        <v>0</v>
      </c>
      <c r="P803" s="193"/>
    </row>
    <row r="804" spans="9:16">
      <c r="I804" s="186" t="s">
        <v>1875</v>
      </c>
      <c r="J804" s="188">
        <v>0</v>
      </c>
      <c r="K804" s="188">
        <v>0</v>
      </c>
      <c r="L804" s="188">
        <v>200</v>
      </c>
      <c r="M804" s="188">
        <v>0</v>
      </c>
      <c r="N804" s="188">
        <v>200</v>
      </c>
      <c r="O804" s="188">
        <v>0</v>
      </c>
      <c r="P804" s="193"/>
    </row>
    <row r="805" spans="9:16">
      <c r="I805" s="186" t="s">
        <v>1876</v>
      </c>
      <c r="J805" s="188">
        <v>0</v>
      </c>
      <c r="K805" s="188">
        <v>0</v>
      </c>
      <c r="L805" s="188">
        <v>24</v>
      </c>
      <c r="M805" s="188">
        <v>24</v>
      </c>
      <c r="N805" s="188">
        <v>0</v>
      </c>
      <c r="O805" s="188">
        <v>0</v>
      </c>
      <c r="P805" s="193"/>
    </row>
    <row r="806" spans="9:16">
      <c r="I806" s="186" t="s">
        <v>1877</v>
      </c>
      <c r="J806" s="188">
        <v>0</v>
      </c>
      <c r="K806" s="188">
        <v>0</v>
      </c>
      <c r="L806" s="188">
        <v>16.826090000000001</v>
      </c>
      <c r="M806" s="188">
        <v>16.826090000000001</v>
      </c>
      <c r="N806" s="188">
        <v>0</v>
      </c>
      <c r="O806" s="188">
        <v>0</v>
      </c>
      <c r="P806" s="193"/>
    </row>
    <row r="807" spans="9:16">
      <c r="I807" s="186" t="s">
        <v>1878</v>
      </c>
      <c r="J807" s="188">
        <v>0</v>
      </c>
      <c r="K807" s="188">
        <v>0</v>
      </c>
      <c r="L807" s="188">
        <v>939.54130000000009</v>
      </c>
      <c r="M807" s="188">
        <v>939.54130000000009</v>
      </c>
      <c r="N807" s="188">
        <v>0</v>
      </c>
      <c r="O807" s="188">
        <v>0</v>
      </c>
      <c r="P807" s="193"/>
    </row>
    <row r="808" spans="9:16">
      <c r="I808" s="186" t="s">
        <v>1879</v>
      </c>
      <c r="J808" s="188">
        <v>0</v>
      </c>
      <c r="K808" s="188">
        <v>0</v>
      </c>
      <c r="L808" s="188">
        <v>1321.1497300000001</v>
      </c>
      <c r="M808" s="188">
        <v>1321.1497300000001</v>
      </c>
      <c r="N808" s="188">
        <v>0</v>
      </c>
      <c r="O808" s="188">
        <v>0</v>
      </c>
      <c r="P808" s="193"/>
    </row>
    <row r="809" spans="9:16">
      <c r="I809" s="186" t="s">
        <v>1880</v>
      </c>
      <c r="J809" s="188">
        <v>0</v>
      </c>
      <c r="K809" s="188">
        <v>0</v>
      </c>
      <c r="L809" s="188">
        <v>431.24</v>
      </c>
      <c r="M809" s="188">
        <v>431.24</v>
      </c>
      <c r="N809" s="188">
        <v>0</v>
      </c>
      <c r="O809" s="188">
        <v>0</v>
      </c>
      <c r="P809" s="193"/>
    </row>
    <row r="810" spans="9:16">
      <c r="I810" s="186" t="s">
        <v>1881</v>
      </c>
      <c r="J810" s="188">
        <v>1400.01343</v>
      </c>
      <c r="K810" s="188">
        <v>0</v>
      </c>
      <c r="L810" s="188">
        <v>12634.11189</v>
      </c>
      <c r="M810" s="188">
        <v>14034.11189</v>
      </c>
      <c r="N810" s="188">
        <v>1.3429999999999999E-2</v>
      </c>
      <c r="O810" s="188">
        <v>0</v>
      </c>
      <c r="P810" s="193"/>
    </row>
    <row r="811" spans="9:16">
      <c r="I811" s="186" t="s">
        <v>1122</v>
      </c>
      <c r="J811" s="188">
        <v>0</v>
      </c>
      <c r="K811" s="188">
        <v>0</v>
      </c>
      <c r="L811" s="188">
        <v>24055.157999999999</v>
      </c>
      <c r="M811" s="188">
        <v>24055.157999999999</v>
      </c>
      <c r="N811" s="188">
        <v>0</v>
      </c>
      <c r="O811" s="188">
        <v>0</v>
      </c>
      <c r="P811" s="193"/>
    </row>
    <row r="812" spans="9:16">
      <c r="I812" s="186" t="s">
        <v>1882</v>
      </c>
      <c r="J812" s="188">
        <v>0</v>
      </c>
      <c r="K812" s="188">
        <v>0</v>
      </c>
      <c r="L812" s="188">
        <v>6.0119999999999996</v>
      </c>
      <c r="M812" s="188">
        <v>6.0119999999999996</v>
      </c>
      <c r="N812" s="188">
        <v>0</v>
      </c>
      <c r="O812" s="188">
        <v>0</v>
      </c>
      <c r="P812" s="193"/>
    </row>
    <row r="813" spans="9:16">
      <c r="I813" s="186" t="s">
        <v>1883</v>
      </c>
      <c r="J813" s="188">
        <v>0</v>
      </c>
      <c r="K813" s="188">
        <v>0</v>
      </c>
      <c r="L813" s="188">
        <v>52729.283880000003</v>
      </c>
      <c r="M813" s="188">
        <v>52040.153880000005</v>
      </c>
      <c r="N813" s="188">
        <v>689.13</v>
      </c>
      <c r="O813" s="188">
        <v>0</v>
      </c>
      <c r="P813" s="193"/>
    </row>
    <row r="814" spans="9:16">
      <c r="I814" s="186" t="s">
        <v>1884</v>
      </c>
      <c r="J814" s="188">
        <v>380.8</v>
      </c>
      <c r="K814" s="188">
        <v>0</v>
      </c>
      <c r="L814" s="188">
        <v>0</v>
      </c>
      <c r="M814" s="188">
        <v>0</v>
      </c>
      <c r="N814" s="188">
        <v>380.8</v>
      </c>
      <c r="O814" s="188">
        <v>0</v>
      </c>
      <c r="P814" s="193"/>
    </row>
    <row r="815" spans="9:16">
      <c r="I815" s="186" t="s">
        <v>1885</v>
      </c>
      <c r="J815" s="188">
        <v>0</v>
      </c>
      <c r="K815" s="188">
        <v>0</v>
      </c>
      <c r="L815" s="188">
        <v>46435.133000000002</v>
      </c>
      <c r="M815" s="188">
        <v>46435.133000000002</v>
      </c>
      <c r="N815" s="188">
        <v>0</v>
      </c>
      <c r="O815" s="188">
        <v>0</v>
      </c>
      <c r="P815" s="193"/>
    </row>
    <row r="816" spans="9:16">
      <c r="I816" s="186" t="s">
        <v>1886</v>
      </c>
      <c r="J816" s="188">
        <v>1413.28</v>
      </c>
      <c r="K816" s="188">
        <v>0</v>
      </c>
      <c r="L816" s="188">
        <v>18042.590539999997</v>
      </c>
      <c r="M816" s="188">
        <v>19455.87054</v>
      </c>
      <c r="N816" s="188">
        <v>0</v>
      </c>
      <c r="O816" s="188">
        <v>0</v>
      </c>
      <c r="P816" s="193"/>
    </row>
    <row r="817" spans="9:16">
      <c r="I817" s="186" t="s">
        <v>1887</v>
      </c>
      <c r="J817" s="188">
        <v>0</v>
      </c>
      <c r="K817" s="188">
        <v>0</v>
      </c>
      <c r="L817" s="188">
        <v>220</v>
      </c>
      <c r="M817" s="188">
        <v>220</v>
      </c>
      <c r="N817" s="188">
        <v>0</v>
      </c>
      <c r="O817" s="188">
        <v>0</v>
      </c>
      <c r="P817" s="193"/>
    </row>
    <row r="818" spans="9:16">
      <c r="I818" s="186" t="s">
        <v>1888</v>
      </c>
      <c r="J818" s="188">
        <v>0</v>
      </c>
      <c r="K818" s="188">
        <v>0</v>
      </c>
      <c r="L818" s="188">
        <v>1844.8</v>
      </c>
      <c r="M818" s="188">
        <v>1844.8</v>
      </c>
      <c r="N818" s="188">
        <v>0</v>
      </c>
      <c r="O818" s="188">
        <v>0</v>
      </c>
      <c r="P818" s="193"/>
    </row>
    <row r="819" spans="9:16">
      <c r="I819" s="186" t="s">
        <v>1889</v>
      </c>
      <c r="J819" s="188">
        <v>0</v>
      </c>
      <c r="K819" s="188">
        <v>0</v>
      </c>
      <c r="L819" s="188">
        <v>1736</v>
      </c>
      <c r="M819" s="188">
        <v>1736</v>
      </c>
      <c r="N819" s="188">
        <v>0</v>
      </c>
      <c r="O819" s="188">
        <v>0</v>
      </c>
      <c r="P819" s="193"/>
    </row>
    <row r="820" spans="9:16">
      <c r="I820" s="186" t="s">
        <v>1890</v>
      </c>
      <c r="J820" s="188">
        <v>665.22</v>
      </c>
      <c r="K820" s="188">
        <v>0</v>
      </c>
      <c r="L820" s="188">
        <v>2692.83</v>
      </c>
      <c r="M820" s="188">
        <v>665.22</v>
      </c>
      <c r="N820" s="188">
        <v>2692.83</v>
      </c>
      <c r="O820" s="188">
        <v>0</v>
      </c>
      <c r="P820" s="193"/>
    </row>
    <row r="821" spans="9:16">
      <c r="I821" s="186" t="s">
        <v>1891</v>
      </c>
      <c r="J821" s="188">
        <v>0</v>
      </c>
      <c r="K821" s="188">
        <v>0</v>
      </c>
      <c r="L821" s="188">
        <v>24452.313440000002</v>
      </c>
      <c r="M821" s="188">
        <v>24452.313440000002</v>
      </c>
      <c r="N821" s="188">
        <v>0</v>
      </c>
      <c r="O821" s="188">
        <v>0</v>
      </c>
      <c r="P821" s="193"/>
    </row>
    <row r="822" spans="9:16">
      <c r="I822" s="186" t="s">
        <v>1892</v>
      </c>
      <c r="J822" s="188">
        <v>0</v>
      </c>
      <c r="K822" s="188">
        <v>0</v>
      </c>
      <c r="L822" s="188">
        <v>5.0999999999999996</v>
      </c>
      <c r="M822" s="188">
        <v>5.0999999999999996</v>
      </c>
      <c r="N822" s="188">
        <v>0</v>
      </c>
      <c r="O822" s="188">
        <v>0</v>
      </c>
      <c r="P822" s="193"/>
    </row>
    <row r="823" spans="9:16">
      <c r="I823" s="186" t="s">
        <v>1893</v>
      </c>
      <c r="J823" s="188">
        <v>0</v>
      </c>
      <c r="K823" s="188">
        <v>0</v>
      </c>
      <c r="L823" s="188">
        <v>4920.4584000000004</v>
      </c>
      <c r="M823" s="188">
        <v>4920.4584000000004</v>
      </c>
      <c r="N823" s="188">
        <v>0</v>
      </c>
      <c r="O823" s="188">
        <v>0</v>
      </c>
      <c r="P823" s="193"/>
    </row>
    <row r="824" spans="9:16">
      <c r="I824" s="186" t="s">
        <v>1894</v>
      </c>
      <c r="J824" s="188">
        <v>0</v>
      </c>
      <c r="K824" s="188">
        <v>0</v>
      </c>
      <c r="L824" s="188">
        <v>84</v>
      </c>
      <c r="M824" s="188">
        <v>84</v>
      </c>
      <c r="N824" s="188">
        <v>0</v>
      </c>
      <c r="O824" s="188">
        <v>0</v>
      </c>
      <c r="P824" s="193"/>
    </row>
  </sheetData>
  <mergeCells count="30">
    <mergeCell ref="F21:F22"/>
    <mergeCell ref="B20:C20"/>
    <mergeCell ref="D20:E20"/>
    <mergeCell ref="F20:G20"/>
    <mergeCell ref="G21:G22"/>
    <mergeCell ref="A21:A22"/>
    <mergeCell ref="B21:B22"/>
    <mergeCell ref="C21:C22"/>
    <mergeCell ref="D21:D22"/>
    <mergeCell ref="E21:E22"/>
    <mergeCell ref="L20:M20"/>
    <mergeCell ref="N20:O20"/>
    <mergeCell ref="I21:I22"/>
    <mergeCell ref="J21:J22"/>
    <mergeCell ref="K21:K22"/>
    <mergeCell ref="L21:L22"/>
    <mergeCell ref="M21:M22"/>
    <mergeCell ref="N21:N22"/>
    <mergeCell ref="O21:O22"/>
    <mergeCell ref="J20:K20"/>
    <mergeCell ref="R23:S23"/>
    <mergeCell ref="T23:U23"/>
    <mergeCell ref="V23:W23"/>
    <mergeCell ref="Q24:Q25"/>
    <mergeCell ref="R24:R25"/>
    <mergeCell ref="S24:S25"/>
    <mergeCell ref="T24:T25"/>
    <mergeCell ref="U24:U25"/>
    <mergeCell ref="V24:V25"/>
    <mergeCell ref="W24:W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1</vt:i4>
      </vt:variant>
    </vt:vector>
  </HeadingPairs>
  <TitlesOfParts>
    <vt:vector size="54" baseType="lpstr">
      <vt:lpstr>Висарт 6м 2019</vt:lpstr>
      <vt:lpstr>2019</vt:lpstr>
      <vt:lpstr>ОСВ Technology</vt:lpstr>
      <vt:lpstr>ОСВ KA</vt:lpstr>
      <vt:lpstr>ОСВ Hotel</vt:lpstr>
      <vt:lpstr>ОСВ VisArt </vt:lpstr>
      <vt:lpstr>ОСВ ТМО</vt:lpstr>
      <vt:lpstr>ОСВ City A Invest</vt:lpstr>
      <vt:lpstr>Предоплата</vt:lpstr>
      <vt:lpstr>Forex</vt:lpstr>
      <vt:lpstr>ОСВ Logistics</vt:lpstr>
      <vt:lpstr>Займы выданные</vt:lpstr>
      <vt:lpstr>СК</vt:lpstr>
      <vt:lpstr>ОПИУ</vt:lpstr>
      <vt:lpstr>ББ</vt:lpstr>
      <vt:lpstr>ДДС</vt:lpstr>
      <vt:lpstr>5</vt:lpstr>
      <vt:lpstr>6</vt:lpstr>
      <vt:lpstr>7</vt:lpstr>
      <vt:lpstr>8</vt:lpstr>
      <vt:lpstr>9</vt:lpstr>
      <vt:lpstr>Авансы выданные</vt:lpstr>
      <vt:lpstr>10</vt:lpstr>
      <vt:lpstr>11.1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Cash</vt:lpstr>
      <vt:lpstr>Прочее</vt:lpstr>
      <vt:lpstr>ТМЗ</vt:lpstr>
      <vt:lpstr>RP</vt:lpstr>
      <vt:lpstr>Сегменты</vt:lpstr>
      <vt:lpstr>Фин инструменты</vt:lpstr>
      <vt:lpstr>Влияние МСФО 9</vt:lpstr>
      <vt:lpstr>x-rates</vt:lpstr>
      <vt:lpstr>СК!_Hlk15556418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Аяганова Жамиля Ермековна</dc:creator>
  <cp:lastModifiedBy>Жунусова Кулчат Саповна</cp:lastModifiedBy>
  <cp:lastPrinted>2019-11-06T01:22:13Z</cp:lastPrinted>
  <dcterms:created xsi:type="dcterms:W3CDTF">2019-05-21T02:12:57Z</dcterms:created>
  <dcterms:modified xsi:type="dcterms:W3CDTF">2019-11-06T01:27:14Z</dcterms:modified>
</cp:coreProperties>
</file>