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12" activeTab="3"/>
  </bookViews>
  <sheets>
    <sheet name="Баланс" sheetId="1" r:id="rId1"/>
    <sheet name="ОПиУ" sheetId="2" r:id="rId2"/>
    <sheet name="ОДС" sheetId="3" r:id="rId3"/>
    <sheet name="ОДК" sheetId="4" r:id="rId4"/>
  </sheets>
  <definedNames>
    <definedName name="_xlnm.Print_Area" localSheetId="0">'Баланс'!$A$1:$X$67</definedName>
    <definedName name="_xlnm.Print_Area" localSheetId="3">'ОДК'!$A$1:$U$54</definedName>
  </definedNames>
  <calcPr fullCalcOnLoad="1"/>
</workbook>
</file>

<file path=xl/sharedStrings.xml><?xml version="1.0" encoding="utf-8"?>
<sst xmlns="http://schemas.openxmlformats.org/spreadsheetml/2006/main" count="365" uniqueCount="164">
  <si>
    <t>Отчет составлен в соответствии с требованиями к содержанию и раскрытию информации МСФО  для предприятий МСБ</t>
  </si>
  <si>
    <t>Наименование</t>
  </si>
  <si>
    <t>Вид деятельности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</si>
  <si>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</si>
  <si>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</si>
  <si>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Отчет о финансовом положении (бухгалтерский баланс)</t>
  </si>
  <si>
    <t>тысяч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</si>
  <si>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</si>
  <si>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</si>
  <si>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</si>
  <si>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</si>
  <si>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</si>
  <si>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Денежные средства и эквиваленты денежных средств</t>
  </si>
  <si>
    <t>Краткосрочные финансовые инвестиции</t>
  </si>
  <si>
    <t xml:space="preserve">Краткосрочная дебиторская задолженность     </t>
  </si>
  <si>
    <t>Запасы</t>
  </si>
  <si>
    <t>-</t>
  </si>
  <si>
    <t>Текущие налоговые активы</t>
  </si>
  <si>
    <t>Долгосрочные активы, предназначенные для продажи</t>
  </si>
  <si>
    <t>II. Долгосрочные активы</t>
  </si>
  <si>
    <t>Долгосрочные финансовые инвестиции</t>
  </si>
  <si>
    <t>Долгосрочная дебиторская задолженность</t>
  </si>
  <si>
    <t xml:space="preserve">Инвестиции в совместно контролируемые предприятия </t>
  </si>
  <si>
    <t xml:space="preserve">Инвестиции в ассоциированные предприятия </t>
  </si>
  <si>
    <t>Инвестиции в недвижимость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</si>
  <si>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</si>
  <si>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</si>
  <si>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</si>
  <si>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</si>
  <si>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</si>
  <si>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</si>
  <si>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БАЛАНС (строка 01 + строка 09)</t>
  </si>
  <si>
    <t>Обязательства</t>
  </si>
  <si>
    <t>III. 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</si>
  <si>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</si>
  <si>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</si>
  <si>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</si>
  <si>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</si>
  <si>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</si>
  <si>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</si>
  <si>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IV. 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</si>
  <si>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</si>
  <si>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</si>
  <si>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</si>
  <si>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</si>
  <si>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</si>
  <si>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</si>
  <si>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Уставный капитал</t>
  </si>
  <si>
    <t>Неоплаченный капитал</t>
  </si>
  <si>
    <t>Выкупленные собственные долевые инструменты</t>
  </si>
  <si>
    <t>Эмиссионный доход</t>
  </si>
  <si>
    <t>Резервы</t>
  </si>
  <si>
    <t>Нераспределенная прибыль (непокрытый убыток)</t>
  </si>
  <si>
    <t>БАЛАНС (строка 22 + строка 36)</t>
  </si>
  <si>
    <t>Руководитель</t>
  </si>
  <si>
    <t>(фамилия, имя, отчество)</t>
  </si>
  <si>
    <t>(подпись)</t>
  </si>
  <si>
    <t>Главный бухгалтер</t>
  </si>
  <si>
    <t>М П</t>
  </si>
  <si>
    <t>Отчет составлен в соответствии с требованиями к содержанию и раскрытию информации МСФО для предприятий МСБ</t>
  </si>
  <si>
    <t>ОТЧЕТ О СОВОКУПНОМ ДОХОДЕ</t>
  </si>
  <si>
    <t>За отчетный период</t>
  </si>
  <si>
    <t>Доход от реализации продукции и оказания услуг</t>
  </si>
  <si>
    <t>Себестоимость реализованной продукции и оказанных услуг</t>
  </si>
  <si>
    <t>Валовая прибыль (стр. 010 - стр. 020)</t>
  </si>
  <si>
    <t>Доходы от финансирования</t>
  </si>
  <si>
    <t>Прочие доходы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</si>
  <si>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</si>
  <si>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</si>
  <si>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</si>
  <si>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Прочие расходы</t>
  </si>
  <si>
    <t>Доля прибыли/убытка организаций, учитываемых по методу долевого участия</t>
  </si>
  <si>
    <t>Прибыль (убыток) за  период  от  продолжаемой деятельности (стр. 030+стр. 040+стр. 050-стр.060 – стр. 070 - стр.080 - стр. 090+/- стр. 100)</t>
  </si>
  <si>
    <t>Прибыль (убыток) от прекращенной деятельности</t>
  </si>
  <si>
    <t>Прибыль (убыток) до налогообложения  (стр.110+/-стр. 120)</t>
  </si>
  <si>
    <t>Расходы по корпоративному подоходному налогу</t>
  </si>
  <si>
    <t>Чистая прибыль (убыток) за период (стр. 130 - стр.140) до вычета доли меньшинства</t>
  </si>
  <si>
    <t>Доля меньшинства</t>
  </si>
  <si>
    <t>Итоговая прибыль (итоговый убыток) за период (стр. 150-стр. 160)</t>
  </si>
  <si>
    <t>Прибыль на акцию</t>
  </si>
  <si>
    <t xml:space="preserve">Прочий совокупный доход </t>
  </si>
  <si>
    <t>Доля предприятий по методу долевого участия</t>
  </si>
  <si>
    <t>Общий совокупный доход</t>
  </si>
  <si>
    <t>ОТЧЕТ О ДВИЖЕНИИ ДЕНЕЖНЫХ СРЕДСТВ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</si>
  <si>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</si>
  <si>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</si>
  <si>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</si>
  <si>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</si>
  <si>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</si>
  <si>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</si>
  <si>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</si>
  <si>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</si>
  <si>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</si>
  <si>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</si>
  <si>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</si>
  <si>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</si>
  <si>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</si>
  <si>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</si>
  <si>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</si>
  <si>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</si>
  <si>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</si>
  <si>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</si>
  <si>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</si>
  <si>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</si>
  <si>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</si>
  <si>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</si>
  <si>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</si>
  <si>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 xml:space="preserve">фьючерсные и форвардные контракты, опционы и свопы 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</si>
  <si>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</si>
  <si>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</si>
  <si>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</si>
  <si>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</si>
  <si>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</si>
  <si>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фьючерсные и форвардные контракты, опционы и свопы</t>
  </si>
  <si>
    <t>3. Чистая сумма денежных средств от инвестиционной деятельности (стр. 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</si>
  <si>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</si>
  <si>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</si>
  <si>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</si>
  <si>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</si>
  <si>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</si>
  <si>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</si>
  <si>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</si>
  <si>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</si>
  <si>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</si>
  <si>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</si>
  <si>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</si>
  <si>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</si>
  <si>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КАПИТАЛЕ</t>
  </si>
  <si>
    <t>Показатель</t>
  </si>
  <si>
    <t>Код
строки</t>
  </si>
  <si>
    <t>Капитал материнской организации</t>
  </si>
  <si>
    <t>Итого капитал</t>
  </si>
  <si>
    <t>Резервный капитал</t>
  </si>
  <si>
    <t>Нераспределенная прибыль</t>
  </si>
  <si>
    <t>Всего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</si>
  <si>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</si>
  <si>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</si>
  <si>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</si>
  <si>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</si>
  <si>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</si>
  <si>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Прибыль/убыток, признанная/ый непосредственно  в  самом  капитале
(стр. 031+/-стр. 032+/- стр.033)</t>
  </si>
  <si>
    <t>Всего прибыль/убыток за период 
(стр. 040+/-стр. 050)</t>
  </si>
  <si>
    <t>Дивиденды</t>
  </si>
  <si>
    <t>Эмиссия акций</t>
  </si>
  <si>
    <t>Пересчитанное сальдо (стр.110+/-стр. 120)</t>
  </si>
  <si>
    <t>Прибыль/убыток, признанная/ый непосредственно в самом капитале
(стр. 131+/-стр. 132+/- стр.133)</t>
  </si>
  <si>
    <t>Прибыль/убыток за период</t>
  </si>
  <si>
    <t>Всего прибыль/убыток за период
(стр. 140+/-стр. 150)</t>
  </si>
  <si>
    <t>Балансовая стоимость одной простой акции</t>
  </si>
  <si>
    <t>Сальдо на 1 января отчетного года</t>
  </si>
  <si>
    <t>Сальдо на 1 января предыдущего года</t>
  </si>
  <si>
    <t>недропользование</t>
  </si>
  <si>
    <t>Прочие краткосрочные активы (авансы)</t>
  </si>
  <si>
    <r>
      <t>ТОО "Иртыш-Полиметалл</t>
    </r>
    <r>
      <rPr>
        <b/>
        <sz val="9"/>
        <rFont val="Arial"/>
        <family val="2"/>
      </rPr>
      <t>"</t>
    </r>
  </si>
  <si>
    <t>Сальдо на 31 декабря предыдущего года (стр.130 + стр. 160-стр. 170+стр. 180-стр.
190)</t>
  </si>
  <si>
    <t>Предыдущий период</t>
  </si>
  <si>
    <r>
      <t>АО "Иртыш-Полиметалл</t>
    </r>
    <r>
      <rPr>
        <b/>
        <sz val="9"/>
        <rFont val="Arial"/>
        <family val="2"/>
      </rPr>
      <t>"</t>
    </r>
  </si>
  <si>
    <t>АО "Иртыш-Полиметалл"</t>
  </si>
  <si>
    <t>АО "Иртыш-Полиметал"</t>
  </si>
  <si>
    <t>по состоянию на 30 сентядря 2016 года</t>
  </si>
  <si>
    <t>дисконт</t>
  </si>
  <si>
    <t>абишев</t>
  </si>
  <si>
    <t>Сальдо на 30 сентября отчетного года
(стр.030+стр. 060+стр. 070+стр. 080+стр. 090)</t>
  </si>
  <si>
    <t>по состоянию на 30 сентября 2016 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</si>
</sst>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,"/>
    <numFmt numFmtId="174" formatCode="0,"/>
    <numFmt numFmtId="175" formatCode="[=-30394941.71]&quot;(30 395)&quot;;General"/>
    <numFmt numFmtId="176" formatCode="[=-28779586.36]&quot;(28 780)&quot;;General"/>
    <numFmt numFmtId="177" formatCode="000"/>
    <numFmt numFmtId="178" formatCode="[=-1615355.35]&quot;(1 615)&quot;;General"/>
    <numFmt numFmtId="179" formatCode="[=-3646236.32]&quot;(3 646)&quot;;General"/>
    <numFmt numFmtId="180" formatCode="[=-1757255.13]&quot;(1 757)&quot;;General"/>
    <numFmt numFmtId="181" formatCode="[=-5133997.53]&quot;(5 134)&quot;;General"/>
    <numFmt numFmtId="182" formatCode="[=-13500000]&quot;(13 500)&quot;;General"/>
    <numFmt numFmtId="183" formatCode="[=-18633997.53]&quot;(18 634)&quot;;General"/>
    <numFmt numFmtId="184" formatCode="[=-43780869.22]&quot;(43 781)&quot;;General"/>
    <numFmt numFmtId="185" formatCode="[=-47427105.54]&quot;(47 427)&quot;;General"/>
    <numFmt numFmtId="186" formatCode="[=-26888374.76]&quot;(26 888)&quot;;General"/>
    <numFmt numFmtId="187" formatCode="[=-3506566.95]&quot;(3 507)&quot;;General"/>
    <numFmt numFmtId="188" formatCode="[=-12203431.65]&quot;(12 203)&quot;;General"/>
    <numFmt numFmtId="189" formatCode="[=-3488339.53]&quot;(3 488)&quot;;General"/>
    <numFmt numFmtId="190" formatCode="[=-12153487.55]&quot;(12 153)&quot;;General"/>
    <numFmt numFmtId="191" formatCode="[=-14250000]&quot;(14 250)&quot;;General"/>
    <numFmt numFmtId="192" formatCode="[=-26403487.55]&quot;(26 403)&quot;;General"/>
    <numFmt numFmtId="193" formatCode="[=-35223673.89]&quot;(35 224)&quot;;General"/>
    <numFmt numFmtId="194" formatCode="#&quot; &quot;?/2"/>
    <numFmt numFmtId="195" formatCode="[=-48872037.91]&quot;(48 872)&quot;;General"/>
    <numFmt numFmtId="196" formatCode="[=-13648364.02]&quot;(13 648)&quot;;General"/>
    <numFmt numFmtId="197" formatCode="[=-19973894.81]&quot;(19 974)&quot;;General"/>
  </numFmts>
  <fonts count="49"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3" fontId="4" fillId="0" borderId="10" xfId="52" applyNumberFormat="1" applyFont="1" applyFill="1" applyBorder="1" applyAlignment="1">
      <alignment horizontal="right" vertical="center"/>
      <protection/>
    </xf>
    <xf numFmtId="3" fontId="1" fillId="0" borderId="11" xfId="52" applyNumberFormat="1" applyFont="1" applyFill="1" applyBorder="1" applyAlignment="1">
      <alignment horizontal="right" vertical="center"/>
      <protection/>
    </xf>
    <xf numFmtId="3" fontId="1" fillId="0" borderId="12" xfId="52" applyNumberFormat="1" applyFont="1" applyFill="1" applyBorder="1" applyAlignment="1">
      <alignment horizontal="right" vertical="center"/>
      <protection/>
    </xf>
    <xf numFmtId="3" fontId="1" fillId="0" borderId="13" xfId="52" applyNumberFormat="1" applyFont="1" applyFill="1" applyBorder="1" applyAlignment="1">
      <alignment horizontal="right" vertical="center"/>
      <protection/>
    </xf>
    <xf numFmtId="3" fontId="1" fillId="0" borderId="10" xfId="52" applyNumberFormat="1" applyFont="1" applyFill="1" applyBorder="1" applyAlignment="1">
      <alignment horizontal="right" vertical="center"/>
      <protection/>
    </xf>
    <xf numFmtId="3" fontId="1" fillId="0" borderId="11" xfId="52" applyNumberFormat="1" applyFont="1" applyFill="1" applyBorder="1" applyAlignment="1">
      <alignment horizontal="right" vertical="center" wrapText="1"/>
      <protection/>
    </xf>
    <xf numFmtId="3" fontId="4" fillId="0" borderId="13" xfId="52" applyNumberFormat="1" applyFont="1" applyFill="1" applyBorder="1" applyAlignment="1">
      <alignment vertical="center"/>
      <protection/>
    </xf>
    <xf numFmtId="3" fontId="1" fillId="0" borderId="13" xfId="52" applyNumberFormat="1" applyFont="1" applyFill="1" applyBorder="1" applyAlignment="1">
      <alignment vertical="center" wrapText="1"/>
      <protection/>
    </xf>
    <xf numFmtId="3" fontId="1" fillId="0" borderId="13" xfId="52" applyNumberFormat="1" applyFont="1" applyFill="1" applyBorder="1" applyAlignment="1">
      <alignment vertical="center"/>
      <protection/>
    </xf>
    <xf numFmtId="0" fontId="0" fillId="0" borderId="0" xfId="0" applyFill="1" applyAlignment="1">
      <alignment horizontal="left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left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right" vertical="center"/>
    </xf>
    <xf numFmtId="172" fontId="1" fillId="0" borderId="13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right" vertical="center"/>
    </xf>
    <xf numFmtId="178" fontId="1" fillId="0" borderId="13" xfId="0" applyNumberFormat="1" applyFont="1" applyFill="1" applyBorder="1" applyAlignment="1">
      <alignment horizontal="right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right" vertical="center"/>
    </xf>
    <xf numFmtId="1" fontId="1" fillId="0" borderId="13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left"/>
    </xf>
    <xf numFmtId="0" fontId="4" fillId="0" borderId="13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horizontal="center" vertical="center"/>
    </xf>
    <xf numFmtId="177" fontId="1" fillId="0" borderId="13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left" wrapText="1"/>
    </xf>
    <xf numFmtId="0" fontId="44" fillId="0" borderId="0" xfId="0" applyFont="1" applyFill="1" applyAlignment="1">
      <alignment horizontal="left"/>
    </xf>
    <xf numFmtId="3" fontId="44" fillId="0" borderId="0" xfId="0" applyNumberFormat="1" applyFont="1" applyFill="1" applyAlignment="1">
      <alignment horizontal="left"/>
    </xf>
    <xf numFmtId="0" fontId="44" fillId="0" borderId="0" xfId="0" applyNumberFormat="1" applyFont="1" applyFill="1" applyAlignment="1">
      <alignment horizontal="center" vertical="center"/>
    </xf>
    <xf numFmtId="3" fontId="44" fillId="0" borderId="0" xfId="0" applyNumberFormat="1" applyFont="1" applyFill="1" applyAlignment="1">
      <alignment horizontal="center" vertical="center"/>
    </xf>
    <xf numFmtId="0" fontId="45" fillId="0" borderId="12" xfId="0" applyNumberFormat="1" applyFont="1" applyFill="1" applyBorder="1" applyAlignment="1">
      <alignment horizontal="center" vertical="center" wrapText="1"/>
    </xf>
    <xf numFmtId="3" fontId="45" fillId="0" borderId="13" xfId="0" applyNumberFormat="1" applyFont="1" applyFill="1" applyBorder="1" applyAlignment="1">
      <alignment horizontal="center" vertical="center" wrapText="1"/>
    </xf>
    <xf numFmtId="3" fontId="45" fillId="0" borderId="13" xfId="0" applyNumberFormat="1" applyFont="1" applyFill="1" applyBorder="1" applyAlignment="1">
      <alignment horizontal="right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46" fillId="0" borderId="13" xfId="0" applyNumberFormat="1" applyFont="1" applyFill="1" applyBorder="1" applyAlignment="1">
      <alignment horizontal="right" vertical="center"/>
    </xf>
    <xf numFmtId="3" fontId="46" fillId="0" borderId="13" xfId="0" applyNumberFormat="1" applyFont="1" applyFill="1" applyBorder="1" applyAlignment="1">
      <alignment horizontal="right" vertical="center"/>
    </xf>
    <xf numFmtId="1" fontId="46" fillId="0" borderId="13" xfId="53" applyNumberFormat="1" applyFont="1" applyFill="1" applyBorder="1" applyAlignment="1">
      <alignment horizontal="right" vertical="center"/>
      <protection/>
    </xf>
    <xf numFmtId="1" fontId="46" fillId="0" borderId="15" xfId="53" applyNumberFormat="1" applyFont="1" applyFill="1" applyBorder="1" applyAlignment="1">
      <alignment horizontal="right" vertical="center"/>
      <protection/>
    </xf>
    <xf numFmtId="0" fontId="45" fillId="0" borderId="13" xfId="0" applyNumberFormat="1" applyFont="1" applyFill="1" applyBorder="1" applyAlignment="1">
      <alignment horizontal="right" vertical="center"/>
    </xf>
    <xf numFmtId="1" fontId="1" fillId="0" borderId="13" xfId="0" applyNumberFormat="1" applyFont="1" applyFill="1" applyBorder="1" applyAlignment="1">
      <alignment horizontal="center" vertical="top" wrapText="1"/>
    </xf>
    <xf numFmtId="0" fontId="46" fillId="0" borderId="13" xfId="0" applyNumberFormat="1" applyFont="1" applyFill="1" applyBorder="1" applyAlignment="1">
      <alignment horizontal="right" vertical="top" wrapText="1"/>
    </xf>
    <xf numFmtId="3" fontId="46" fillId="0" borderId="13" xfId="0" applyNumberFormat="1" applyFont="1" applyFill="1" applyBorder="1" applyAlignment="1">
      <alignment horizontal="right" vertical="top" wrapText="1"/>
    </xf>
    <xf numFmtId="0" fontId="0" fillId="0" borderId="0" xfId="0" applyNumberFormat="1" applyFill="1" applyAlignment="1">
      <alignment horizontal="left" vertical="top" wrapText="1"/>
    </xf>
    <xf numFmtId="0" fontId="46" fillId="0" borderId="13" xfId="53" applyFont="1" applyFill="1" applyBorder="1" applyAlignment="1">
      <alignment horizontal="right" vertical="center"/>
      <protection/>
    </xf>
    <xf numFmtId="1" fontId="45" fillId="0" borderId="15" xfId="53" applyNumberFormat="1" applyFont="1" applyFill="1" applyBorder="1" applyAlignment="1">
      <alignment horizontal="right" vertical="center"/>
      <protection/>
    </xf>
    <xf numFmtId="0" fontId="46" fillId="0" borderId="14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center" vertical="center"/>
    </xf>
    <xf numFmtId="3" fontId="46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1" fillId="0" borderId="14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center" vertical="center"/>
    </xf>
    <xf numFmtId="1" fontId="48" fillId="0" borderId="0" xfId="0" applyNumberFormat="1" applyFont="1" applyFill="1" applyAlignment="1">
      <alignment horizontal="left"/>
    </xf>
    <xf numFmtId="1" fontId="1" fillId="0" borderId="13" xfId="53" applyNumberFormat="1" applyFont="1" applyFill="1" applyBorder="1" applyAlignment="1">
      <alignment horizontal="right" vertical="center"/>
      <protection/>
    </xf>
    <xf numFmtId="0" fontId="5" fillId="0" borderId="0" xfId="0" applyNumberFormat="1" applyFont="1" applyFill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left" vertical="center"/>
    </xf>
    <xf numFmtId="0" fontId="1" fillId="0" borderId="16" xfId="0" applyNumberFormat="1" applyFont="1" applyFill="1" applyBorder="1" applyAlignment="1">
      <alignment horizontal="left" vertical="center"/>
    </xf>
    <xf numFmtId="0" fontId="4" fillId="0" borderId="17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15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wrapText="1"/>
    </xf>
    <xf numFmtId="1" fontId="1" fillId="0" borderId="1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left" vertical="center"/>
    </xf>
    <xf numFmtId="0" fontId="1" fillId="0" borderId="15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/>
    </xf>
    <xf numFmtId="0" fontId="1" fillId="0" borderId="15" xfId="0" applyNumberFormat="1" applyFont="1" applyFill="1" applyBorder="1" applyAlignment="1">
      <alignment horizontal="left" vertical="top"/>
    </xf>
    <xf numFmtId="0" fontId="4" fillId="0" borderId="13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left" vertical="center" indent="5"/>
    </xf>
    <xf numFmtId="0" fontId="1" fillId="0" borderId="13" xfId="0" applyNumberFormat="1" applyFont="1" applyFill="1" applyBorder="1" applyAlignment="1">
      <alignment horizontal="left" vertical="center" indent="5"/>
    </xf>
    <xf numFmtId="0" fontId="1" fillId="0" borderId="15" xfId="0" applyNumberFormat="1" applyFont="1" applyFill="1" applyBorder="1" applyAlignment="1">
      <alignment horizontal="left" vertical="center" wrapText="1" indent="5"/>
    </xf>
    <xf numFmtId="0" fontId="1" fillId="0" borderId="15" xfId="0" applyNumberFormat="1" applyFont="1" applyFill="1" applyBorder="1" applyAlignment="1">
      <alignment horizontal="left" vertical="top" wrapText="1" indent="5"/>
    </xf>
    <xf numFmtId="0" fontId="1" fillId="0" borderId="13" xfId="0" applyNumberFormat="1" applyFont="1" applyFill="1" applyBorder="1" applyAlignment="1">
      <alignment horizontal="left" vertical="top"/>
    </xf>
    <xf numFmtId="0" fontId="1" fillId="0" borderId="13" xfId="0" applyNumberFormat="1" applyFont="1" applyFill="1" applyBorder="1" applyAlignment="1">
      <alignment horizontal="left" vertical="top" wrapText="1" indent="5"/>
    </xf>
    <xf numFmtId="0" fontId="4" fillId="0" borderId="13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3" fontId="1" fillId="0" borderId="14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top" wrapText="1"/>
    </xf>
    <xf numFmtId="3" fontId="1" fillId="0" borderId="19" xfId="0" applyNumberFormat="1" applyFont="1" applyFill="1" applyBorder="1" applyAlignment="1">
      <alignment horizontal="center" vertical="top" wrapText="1"/>
    </xf>
    <xf numFmtId="3" fontId="1" fillId="0" borderId="19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left" vertical="center" wrapText="1"/>
    </xf>
    <xf numFmtId="177" fontId="1" fillId="0" borderId="13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top" wrapText="1"/>
    </xf>
    <xf numFmtId="0" fontId="1" fillId="0" borderId="21" xfId="0" applyNumberFormat="1" applyFont="1" applyFill="1" applyBorder="1" applyAlignment="1">
      <alignment horizontal="left" vertical="center" wrapText="1"/>
    </xf>
    <xf numFmtId="177" fontId="1" fillId="0" borderId="13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>
      <alignment horizontal="center" vertical="top"/>
    </xf>
    <xf numFmtId="1" fontId="6" fillId="0" borderId="22" xfId="0" applyNumberFormat="1" applyFont="1" applyFill="1" applyBorder="1" applyAlignment="1">
      <alignment horizontal="left" vertical="center"/>
    </xf>
    <xf numFmtId="1" fontId="6" fillId="0" borderId="23" xfId="0" applyNumberFormat="1" applyFont="1" applyFill="1" applyBorder="1" applyAlignment="1">
      <alignment horizontal="left" vertical="center"/>
    </xf>
    <xf numFmtId="1" fontId="6" fillId="0" borderId="11" xfId="0" applyNumberFormat="1" applyFont="1" applyFill="1" applyBorder="1" applyAlignment="1">
      <alignment horizontal="left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left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top" wrapText="1"/>
    </xf>
    <xf numFmtId="3" fontId="1" fillId="0" borderId="27" xfId="0" applyNumberFormat="1" applyFont="1" applyFill="1" applyBorder="1" applyAlignment="1">
      <alignment horizontal="center" vertical="top" wrapText="1"/>
    </xf>
    <xf numFmtId="3" fontId="1" fillId="0" borderId="28" xfId="0" applyNumberFormat="1" applyFont="1" applyFill="1" applyBorder="1" applyAlignment="1">
      <alignment horizontal="center" vertical="top" wrapText="1"/>
    </xf>
    <xf numFmtId="3" fontId="1" fillId="0" borderId="29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30" xfId="0" applyNumberFormat="1" applyFont="1" applyFill="1" applyBorder="1" applyAlignment="1">
      <alignment horizontal="center" vertical="center" wrapText="1"/>
    </xf>
    <xf numFmtId="3" fontId="1" fillId="0" borderId="31" xfId="0" applyNumberFormat="1" applyFont="1" applyFill="1" applyBorder="1" applyAlignment="1">
      <alignment horizontal="center" vertical="center" wrapText="1"/>
    </xf>
    <xf numFmtId="173" fontId="4" fillId="33" borderId="11" xfId="0" applyNumberFormat="1" applyFont="1" applyFill="1" applyBorder="1" applyAlignment="1">
      <alignment horizontal="right" vertical="center"/>
    </xf>
    <xf numFmtId="0" fontId="4" fillId="33" borderId="12" xfId="0" applyNumberFormat="1" applyFont="1" applyFill="1" applyBorder="1" applyAlignment="1">
      <alignment horizontal="right" vertical="center"/>
    </xf>
    <xf numFmtId="173" fontId="4" fillId="33" borderId="13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ДК" xfId="52"/>
    <cellStyle name="Обычный_ОДС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67"/>
  <sheetViews>
    <sheetView zoomScaleSheetLayoutView="100" zoomScalePageLayoutView="0" workbookViewId="0" topLeftCell="A49">
      <selection activeCell="W71" sqref="W71"/>
    </sheetView>
  </sheetViews>
  <sheetFormatPr defaultColWidth="10.66015625" defaultRowHeight="11.25"/>
  <cols>
    <col min="1" max="2" width="2.83203125" style="11" customWidth="1"/>
    <col min="3" max="3" width="3" style="11" customWidth="1"/>
    <col min="4" max="14" width="2.83203125" style="11" customWidth="1"/>
    <col min="15" max="15" width="3" style="11" customWidth="1"/>
    <col min="16" max="17" width="2.83203125" style="11" customWidth="1"/>
    <col min="18" max="19" width="3.16015625" style="11" customWidth="1"/>
    <col min="20" max="20" width="4.16015625" style="11" customWidth="1"/>
    <col min="21" max="21" width="7.16015625" style="11" customWidth="1"/>
    <col min="22" max="22" width="9" style="11" customWidth="1"/>
    <col min="23" max="23" width="20.33203125" style="11" customWidth="1"/>
    <col min="24" max="24" width="20.16015625" style="11" customWidth="1"/>
    <col min="25" max="16384" width="10.66015625" style="12" customWidth="1"/>
  </cols>
  <sheetData>
    <row r="1" spans="23:24" s="10" customFormat="1" ht="14.25" customHeight="1">
      <c r="W1" s="85" t="s">
        <v>0</v>
      </c>
      <c r="X1" s="85"/>
    </row>
    <row r="2" spans="23:24" s="11" customFormat="1" ht="6.75" customHeight="1">
      <c r="W2" s="85"/>
      <c r="X2" s="85"/>
    </row>
    <row r="3" spans="8:24" ht="12">
      <c r="H3" s="86" t="s">
        <v>153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</row>
    <row r="4" spans="1:24" ht="12">
      <c r="A4" s="13" t="s">
        <v>1</v>
      </c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</row>
    <row r="5" s="10" customFormat="1" ht="6" customHeight="1"/>
    <row r="6" spans="1:24" ht="12">
      <c r="A6" s="13" t="s">
        <v>2</v>
      </c>
      <c r="H6" s="73" t="s">
        <v>151</v>
      </c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</row>
    <row r="7" s="10" customFormat="1" ht="6" customHeight="1"/>
    <row r="8" spans="1:24" ht="12">
      <c r="A8" s="13" t="s">
        <v>3</v>
      </c>
      <c r="S8" s="88">
        <v>2</v>
      </c>
      <c r="T8" s="88"/>
      <c r="U8" s="88"/>
      <c r="V8" s="88"/>
      <c r="W8" s="88"/>
      <c r="X8" s="88"/>
    </row>
    <row r="9" s="10" customFormat="1" ht="6.75" customHeight="1"/>
    <row r="10" spans="1:24" s="10" customFormat="1" ht="5.25" customHeight="1">
      <c r="A10" s="89" t="s">
        <v>4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90"/>
      <c r="T10" s="90"/>
      <c r="U10" s="90"/>
      <c r="V10" s="90"/>
      <c r="W10" s="90"/>
      <c r="X10" s="90"/>
    </row>
    <row r="11" spans="1:24" ht="11.2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90"/>
      <c r="T11" s="90"/>
      <c r="U11" s="90"/>
      <c r="V11" s="90"/>
      <c r="W11" s="90"/>
      <c r="X11" s="90"/>
    </row>
    <row r="12" spans="1:24" ht="11.25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90"/>
      <c r="T12" s="90"/>
      <c r="U12" s="90"/>
      <c r="V12" s="90"/>
      <c r="W12" s="90"/>
      <c r="X12" s="90"/>
    </row>
    <row r="13" s="15" customFormat="1" ht="4.5" customHeight="1"/>
    <row r="14" spans="1:24" s="10" customFormat="1" ht="12.75" customHeight="1">
      <c r="A14" s="81" t="s">
        <v>5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</row>
    <row r="15" spans="1:24" s="10" customFormat="1" ht="12" customHeight="1">
      <c r="A15" s="82" t="s">
        <v>159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</row>
    <row r="16" spans="1:24" s="10" customFormat="1" ht="12" customHeight="1">
      <c r="A16" s="83" t="s">
        <v>6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</row>
    <row r="17" spans="1:24" ht="24" customHeight="1">
      <c r="A17" s="84" t="s">
        <v>7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16" t="s">
        <v>8</v>
      </c>
      <c r="W17" s="16" t="s">
        <v>9</v>
      </c>
      <c r="X17" s="17" t="s">
        <v>10</v>
      </c>
    </row>
    <row r="18" spans="1:24" s="10" customFormat="1" ht="12.75" customHeight="1">
      <c r="A18" s="75" t="s">
        <v>11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18">
        <v>1</v>
      </c>
      <c r="W18" s="19">
        <f>SUM(W19:W25)</f>
        <v>894.542</v>
      </c>
      <c r="X18" s="19">
        <f>SUM(X19:X25)</f>
        <v>19054.371</v>
      </c>
    </row>
    <row r="19" spans="1:24" s="10" customFormat="1" ht="12.75" customHeight="1">
      <c r="A19" s="74" t="s">
        <v>12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20">
        <v>2</v>
      </c>
      <c r="W19" s="21">
        <f>886522/1000</f>
        <v>886.522</v>
      </c>
      <c r="X19" s="21">
        <f>418871/1000</f>
        <v>418.871</v>
      </c>
    </row>
    <row r="20" spans="1:24" s="10" customFormat="1" ht="12.75" customHeight="1">
      <c r="A20" s="74" t="s">
        <v>13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20">
        <v>3</v>
      </c>
      <c r="W20" s="21"/>
      <c r="X20" s="21"/>
    </row>
    <row r="21" spans="1:24" s="10" customFormat="1" ht="12.75" customHeight="1">
      <c r="A21" s="74" t="s">
        <v>14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20">
        <v>4</v>
      </c>
      <c r="W21" s="21"/>
      <c r="X21" s="21"/>
    </row>
    <row r="22" spans="1:24" s="10" customFormat="1" ht="12.75" customHeight="1">
      <c r="A22" s="74" t="s">
        <v>15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20">
        <v>5</v>
      </c>
      <c r="W22" s="21">
        <f>8020/1000</f>
        <v>8.02</v>
      </c>
      <c r="X22" s="21">
        <f>5500/1000</f>
        <v>5.5</v>
      </c>
    </row>
    <row r="23" spans="1:24" s="10" customFormat="1" ht="12.75" customHeight="1">
      <c r="A23" s="74" t="s">
        <v>17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20">
        <v>6</v>
      </c>
      <c r="W23" s="21"/>
      <c r="X23" s="21"/>
    </row>
    <row r="24" spans="1:24" s="10" customFormat="1" ht="12.75" customHeight="1">
      <c r="A24" s="80" t="s">
        <v>18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20">
        <v>7</v>
      </c>
      <c r="W24" s="21"/>
      <c r="X24" s="21"/>
    </row>
    <row r="25" spans="1:24" s="10" customFormat="1" ht="12.75" customHeight="1">
      <c r="A25" s="80" t="s">
        <v>152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20">
        <v>8</v>
      </c>
      <c r="W25" s="21"/>
      <c r="X25" s="22">
        <f>18630000/1000</f>
        <v>18630</v>
      </c>
    </row>
    <row r="26" spans="1:24" s="10" customFormat="1" ht="12.75" customHeight="1">
      <c r="A26" s="75" t="s">
        <v>19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18">
        <v>9</v>
      </c>
      <c r="W26" s="19">
        <f>SUM(W27:W37)</f>
        <v>303003.80100000004</v>
      </c>
      <c r="X26" s="19">
        <f>X30+X34+X37</f>
        <v>78009.374</v>
      </c>
    </row>
    <row r="27" spans="1:24" s="10" customFormat="1" ht="12.75" customHeight="1">
      <c r="A27" s="74" t="s">
        <v>20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23">
        <v>10</v>
      </c>
      <c r="W27" s="21"/>
      <c r="X27" s="21"/>
    </row>
    <row r="28" spans="1:24" s="10" customFormat="1" ht="12.75" customHeight="1">
      <c r="A28" s="74" t="s">
        <v>21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23">
        <v>11</v>
      </c>
      <c r="W28" s="24"/>
      <c r="X28" s="24"/>
    </row>
    <row r="29" spans="1:24" s="10" customFormat="1" ht="12.75" customHeight="1">
      <c r="A29" s="74" t="s">
        <v>22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23">
        <v>12</v>
      </c>
      <c r="W29" s="24"/>
      <c r="X29" s="24"/>
    </row>
    <row r="30" spans="1:24" s="10" customFormat="1" ht="12.75" customHeight="1">
      <c r="A30" s="74" t="s">
        <v>23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23">
        <v>13</v>
      </c>
      <c r="W30" s="21">
        <f>281863221/1000</f>
        <v>281863.221</v>
      </c>
      <c r="X30" s="21">
        <f>55890000/1000</f>
        <v>55890</v>
      </c>
    </row>
    <row r="31" spans="1:24" s="10" customFormat="1" ht="12.75" customHeight="1">
      <c r="A31" s="74" t="s">
        <v>24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23">
        <v>14</v>
      </c>
      <c r="W31" s="24"/>
      <c r="X31" s="24"/>
    </row>
    <row r="32" spans="1:24" s="10" customFormat="1" ht="12.75" customHeight="1">
      <c r="A32" s="74" t="s">
        <v>25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23">
        <v>15</v>
      </c>
      <c r="W32" s="21"/>
      <c r="X32" s="21"/>
    </row>
    <row r="33" spans="1:24" s="10" customFormat="1" ht="12.75" customHeight="1">
      <c r="A33" s="74" t="s">
        <v>26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23">
        <v>16</v>
      </c>
      <c r="W33" s="21"/>
      <c r="X33" s="21"/>
    </row>
    <row r="34" spans="1:24" s="10" customFormat="1" ht="12.75" customHeight="1">
      <c r="A34" s="74" t="s">
        <v>27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23">
        <v>17</v>
      </c>
      <c r="W34" s="21">
        <f>10367168/1000</f>
        <v>10367.168</v>
      </c>
      <c r="X34" s="21">
        <f>9367168/1000</f>
        <v>9367.168</v>
      </c>
    </row>
    <row r="35" spans="1:24" s="10" customFormat="1" ht="12.75" customHeight="1">
      <c r="A35" s="74" t="s">
        <v>28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23">
        <v>18</v>
      </c>
      <c r="W35" s="21"/>
      <c r="X35" s="21"/>
    </row>
    <row r="36" spans="1:24" s="10" customFormat="1" ht="12.75" customHeight="1">
      <c r="A36" s="74" t="s">
        <v>29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23">
        <v>19</v>
      </c>
      <c r="W36" s="21"/>
      <c r="X36" s="21"/>
    </row>
    <row r="37" spans="1:25" s="10" customFormat="1" ht="12.75" customHeight="1">
      <c r="A37" s="79" t="s">
        <v>30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25">
        <v>20</v>
      </c>
      <c r="W37" s="26">
        <f>10773412/1000</f>
        <v>10773.412</v>
      </c>
      <c r="X37" s="26">
        <f>12752206/1000</f>
        <v>12752.206</v>
      </c>
      <c r="Y37" s="10" t="s">
        <v>160</v>
      </c>
    </row>
    <row r="38" spans="1:27" s="10" customFormat="1" ht="12.75" customHeight="1">
      <c r="A38" s="77" t="s">
        <v>31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27">
        <v>21</v>
      </c>
      <c r="W38" s="19">
        <f>SUM(W18,W26)</f>
        <v>303898.34300000005</v>
      </c>
      <c r="X38" s="19">
        <f>X18+X26</f>
        <v>97063.745</v>
      </c>
      <c r="AA38" s="28"/>
    </row>
    <row r="39" spans="1:24" s="10" customFormat="1" ht="12.75" customHeight="1">
      <c r="A39" s="75" t="s">
        <v>32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27">
        <v>22</v>
      </c>
      <c r="W39" s="19">
        <f>W40+W47</f>
        <v>84392.49500000001</v>
      </c>
      <c r="X39" s="19">
        <f>X40+X47</f>
        <v>77807.137</v>
      </c>
    </row>
    <row r="40" spans="1:24" s="10" customFormat="1" ht="12.75" customHeight="1">
      <c r="A40" s="75" t="s">
        <v>33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27">
        <v>23</v>
      </c>
      <c r="W40" s="19">
        <f>W41+W42+W43+W44+W46</f>
        <v>81842.054</v>
      </c>
      <c r="X40" s="19">
        <f>X41+X46</f>
        <v>75256.696</v>
      </c>
    </row>
    <row r="41" spans="1:24" s="10" customFormat="1" ht="12.75" customHeight="1">
      <c r="A41" s="74" t="s">
        <v>34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23">
        <v>24</v>
      </c>
      <c r="W41" s="21">
        <f>(21600000+20990000)/1000</f>
        <v>42590</v>
      </c>
      <c r="X41" s="21">
        <f>(21600000+18630000)/1000</f>
        <v>40230</v>
      </c>
    </row>
    <row r="42" spans="1:24" s="10" customFormat="1" ht="12.75" customHeight="1">
      <c r="A42" s="74" t="s">
        <v>35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23">
        <v>25</v>
      </c>
      <c r="W42" s="21">
        <f>46334/1000</f>
        <v>46.334</v>
      </c>
      <c r="X42" s="24" t="s">
        <v>16</v>
      </c>
    </row>
    <row r="43" spans="1:24" ht="23.25" customHeight="1">
      <c r="A43" s="78" t="s">
        <v>36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23">
        <v>26</v>
      </c>
      <c r="W43" s="21">
        <f>20504/1000</f>
        <v>20.504</v>
      </c>
      <c r="X43" s="24" t="s">
        <v>16</v>
      </c>
    </row>
    <row r="44" spans="1:24" s="10" customFormat="1" ht="12.75" customHeight="1">
      <c r="A44" s="74" t="s">
        <v>37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23">
        <v>27</v>
      </c>
      <c r="W44" s="21">
        <f>(3000000+195096+2000+29600+1147500+11020)/1000</f>
        <v>4385.216</v>
      </c>
      <c r="X44" s="21"/>
    </row>
    <row r="45" spans="1:24" s="10" customFormat="1" ht="12.75" customHeight="1">
      <c r="A45" s="76" t="s">
        <v>38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23">
        <v>28</v>
      </c>
      <c r="W45" s="21" t="s">
        <v>16</v>
      </c>
      <c r="X45" s="24" t="s">
        <v>16</v>
      </c>
    </row>
    <row r="46" spans="1:25" s="10" customFormat="1" ht="12.75" customHeight="1">
      <c r="A46" s="74" t="s">
        <v>39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23">
        <v>29</v>
      </c>
      <c r="W46" s="21">
        <f>34800000/1000</f>
        <v>34800</v>
      </c>
      <c r="X46" s="21">
        <f>35026696/1000</f>
        <v>35026.696</v>
      </c>
      <c r="Y46" s="10" t="s">
        <v>161</v>
      </c>
    </row>
    <row r="47" spans="1:24" s="10" customFormat="1" ht="12.75" customHeight="1">
      <c r="A47" s="75" t="s">
        <v>40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27">
        <v>30</v>
      </c>
      <c r="W47" s="19">
        <f>W51</f>
        <v>2550.441</v>
      </c>
      <c r="X47" s="19">
        <f>X48+X51</f>
        <v>2550.441</v>
      </c>
    </row>
    <row r="48" spans="1:24" s="10" customFormat="1" ht="12.75" customHeight="1">
      <c r="A48" s="74" t="s">
        <v>41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23">
        <v>31</v>
      </c>
      <c r="W48" s="24" t="s">
        <v>16</v>
      </c>
      <c r="X48" s="21"/>
    </row>
    <row r="49" spans="1:24" s="10" customFormat="1" ht="12.75" customHeight="1">
      <c r="A49" s="74" t="s">
        <v>42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23">
        <v>32</v>
      </c>
      <c r="W49" s="24" t="s">
        <v>16</v>
      </c>
      <c r="X49" s="24" t="s">
        <v>16</v>
      </c>
    </row>
    <row r="50" spans="1:24" s="10" customFormat="1" ht="12.75" customHeight="1">
      <c r="A50" s="74" t="s">
        <v>43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23">
        <v>33</v>
      </c>
      <c r="W50" s="24" t="s">
        <v>16</v>
      </c>
      <c r="X50" s="24" t="s">
        <v>16</v>
      </c>
    </row>
    <row r="51" spans="1:24" s="10" customFormat="1" ht="12.75" customHeight="1">
      <c r="A51" s="76" t="s">
        <v>44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23">
        <v>34</v>
      </c>
      <c r="W51" s="21">
        <f>2550441/1000</f>
        <v>2550.441</v>
      </c>
      <c r="X51" s="21">
        <f>2550441/1000</f>
        <v>2550.441</v>
      </c>
    </row>
    <row r="52" spans="1:24" s="10" customFormat="1" ht="12.75" customHeight="1">
      <c r="A52" s="74" t="s">
        <v>45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23">
        <v>35</v>
      </c>
      <c r="W52" s="24" t="s">
        <v>16</v>
      </c>
      <c r="X52" s="24"/>
    </row>
    <row r="53" spans="1:24" s="10" customFormat="1" ht="12.75" customHeight="1">
      <c r="A53" s="75" t="s">
        <v>46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27">
        <v>36</v>
      </c>
      <c r="W53" s="19">
        <f>W54+W59</f>
        <v>219505.848</v>
      </c>
      <c r="X53" s="19">
        <f>X54+X59</f>
        <v>19256.608</v>
      </c>
    </row>
    <row r="54" spans="1:24" s="10" customFormat="1" ht="12.75" customHeight="1">
      <c r="A54" s="74" t="s">
        <v>47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23">
        <v>37</v>
      </c>
      <c r="W54" s="21">
        <f>214468207/1000</f>
        <v>214468.207</v>
      </c>
      <c r="X54" s="21">
        <f>9476986/1000</f>
        <v>9476.986</v>
      </c>
    </row>
    <row r="55" spans="1:24" s="10" customFormat="1" ht="12.75" customHeight="1">
      <c r="A55" s="74" t="s">
        <v>48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23">
        <v>38</v>
      </c>
      <c r="W55" s="21" t="s">
        <v>16</v>
      </c>
      <c r="X55" s="21" t="s">
        <v>16</v>
      </c>
    </row>
    <row r="56" spans="1:24" s="10" customFormat="1" ht="12.75" customHeight="1">
      <c r="A56" s="74" t="s">
        <v>49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23">
        <v>39</v>
      </c>
      <c r="W56" s="21" t="s">
        <v>16</v>
      </c>
      <c r="X56" s="21" t="s">
        <v>16</v>
      </c>
    </row>
    <row r="57" spans="1:24" s="10" customFormat="1" ht="12.75" customHeight="1">
      <c r="A57" s="74" t="s">
        <v>50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23">
        <v>40</v>
      </c>
      <c r="W57" s="21" t="s">
        <v>16</v>
      </c>
      <c r="X57" s="21" t="s">
        <v>16</v>
      </c>
    </row>
    <row r="58" spans="1:24" s="10" customFormat="1" ht="12.75" customHeight="1">
      <c r="A58" s="74" t="s">
        <v>51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23">
        <v>41</v>
      </c>
      <c r="W58" s="21" t="s">
        <v>16</v>
      </c>
      <c r="X58" s="21" t="s">
        <v>16</v>
      </c>
    </row>
    <row r="59" spans="1:24" s="10" customFormat="1" ht="12.75" customHeight="1">
      <c r="A59" s="74" t="s">
        <v>52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25">
        <v>42</v>
      </c>
      <c r="W59" s="21">
        <f>(6888244-1191005-659598)/1000</f>
        <v>5037.641</v>
      </c>
      <c r="X59" s="21">
        <f>9779622/1000</f>
        <v>9779.622</v>
      </c>
    </row>
    <row r="60" spans="1:24" s="10" customFormat="1" ht="12.75" customHeight="1">
      <c r="A60" s="74" t="s">
        <v>148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25">
        <v>43</v>
      </c>
      <c r="W60" s="26"/>
      <c r="X60" s="26"/>
    </row>
    <row r="61" spans="1:24" s="10" customFormat="1" ht="12.75" customHeight="1">
      <c r="A61" s="75" t="s">
        <v>53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27">
        <v>44</v>
      </c>
      <c r="W61" s="19">
        <f>W39+W53</f>
        <v>303898.343</v>
      </c>
      <c r="X61" s="19">
        <f>SUM(X39,X53)</f>
        <v>97063.745</v>
      </c>
    </row>
    <row r="62" s="10" customFormat="1" ht="6" customHeight="1"/>
    <row r="63" spans="1:24" s="10" customFormat="1" ht="12.75" customHeight="1">
      <c r="A63" s="13" t="s">
        <v>54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W63" s="28">
        <f>W61-W38</f>
        <v>0</v>
      </c>
      <c r="X63" s="28">
        <f>X61-X38</f>
        <v>0</v>
      </c>
    </row>
    <row r="64" spans="8:23" s="10" customFormat="1" ht="10.5" customHeight="1">
      <c r="H64" s="72" t="s">
        <v>55</v>
      </c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W64" s="30" t="s">
        <v>56</v>
      </c>
    </row>
    <row r="65" spans="1:23" s="10" customFormat="1" ht="12.75" customHeight="1">
      <c r="A65" s="13" t="s">
        <v>57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W65" s="14"/>
    </row>
    <row r="66" spans="8:23" s="10" customFormat="1" ht="9.75" customHeight="1">
      <c r="H66" s="72" t="s">
        <v>55</v>
      </c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W66" s="30" t="s">
        <v>56</v>
      </c>
    </row>
    <row r="67" s="10" customFormat="1" ht="12.75" customHeight="1">
      <c r="B67" s="11" t="s">
        <v>58</v>
      </c>
    </row>
  </sheetData>
  <sheetProtection/>
  <mergeCells count="58">
    <mergeCell ref="W1:X2"/>
    <mergeCell ref="H3:X4"/>
    <mergeCell ref="H6:X6"/>
    <mergeCell ref="S8:X8"/>
    <mergeCell ref="A10:R12"/>
    <mergeCell ref="S10:X12"/>
    <mergeCell ref="A14:X14"/>
    <mergeCell ref="A15:X15"/>
    <mergeCell ref="A16:X16"/>
    <mergeCell ref="A17:U17"/>
    <mergeCell ref="A18:U18"/>
    <mergeCell ref="A19:U19"/>
    <mergeCell ref="A20:U20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32:U32"/>
    <mergeCell ref="A33:U33"/>
    <mergeCell ref="A34:U34"/>
    <mergeCell ref="A35:U35"/>
    <mergeCell ref="A36:U36"/>
    <mergeCell ref="A37:U37"/>
    <mergeCell ref="A38:U38"/>
    <mergeCell ref="A39:U39"/>
    <mergeCell ref="A40:U40"/>
    <mergeCell ref="A41:U41"/>
    <mergeCell ref="A42:U42"/>
    <mergeCell ref="A43:U43"/>
    <mergeCell ref="A44:U44"/>
    <mergeCell ref="A45:U45"/>
    <mergeCell ref="A46:U46"/>
    <mergeCell ref="A47:U47"/>
    <mergeCell ref="A48:U48"/>
    <mergeCell ref="A49:U49"/>
    <mergeCell ref="A50:U50"/>
    <mergeCell ref="A51:U51"/>
    <mergeCell ref="A52:U52"/>
    <mergeCell ref="A53:U53"/>
    <mergeCell ref="A54:U54"/>
    <mergeCell ref="A55:U55"/>
    <mergeCell ref="H64:U64"/>
    <mergeCell ref="H65:U65"/>
    <mergeCell ref="H66:U66"/>
    <mergeCell ref="A60:U60"/>
    <mergeCell ref="A56:U56"/>
    <mergeCell ref="A57:U57"/>
    <mergeCell ref="A58:U58"/>
    <mergeCell ref="A59:U59"/>
    <mergeCell ref="A61:U61"/>
    <mergeCell ref="H63:U63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44"/>
  <sheetViews>
    <sheetView zoomScaleSheetLayoutView="100" zoomScalePageLayoutView="0" workbookViewId="0" topLeftCell="A19">
      <selection activeCell="A19" sqref="A19:U19"/>
    </sheetView>
  </sheetViews>
  <sheetFormatPr defaultColWidth="10.66015625" defaultRowHeight="11.25"/>
  <cols>
    <col min="1" max="2" width="2.83203125" style="11" customWidth="1"/>
    <col min="3" max="3" width="3" style="11" customWidth="1"/>
    <col min="4" max="14" width="2.83203125" style="11" customWidth="1"/>
    <col min="15" max="15" width="3" style="11" customWidth="1"/>
    <col min="16" max="17" width="2.83203125" style="11" customWidth="1"/>
    <col min="18" max="19" width="3.16015625" style="11" customWidth="1"/>
    <col min="20" max="20" width="4.16015625" style="11" customWidth="1"/>
    <col min="21" max="21" width="16" style="11" customWidth="1"/>
    <col min="22" max="22" width="9" style="11" customWidth="1"/>
    <col min="23" max="23" width="20.33203125" style="11" customWidth="1"/>
    <col min="24" max="24" width="20.16015625" style="11" customWidth="1"/>
    <col min="25" max="16384" width="10.66015625" style="12" customWidth="1"/>
  </cols>
  <sheetData>
    <row r="1" spans="23:24" s="10" customFormat="1" ht="14.25" customHeight="1">
      <c r="W1" s="85" t="s">
        <v>59</v>
      </c>
      <c r="X1" s="85"/>
    </row>
    <row r="2" spans="23:24" s="11" customFormat="1" ht="6.75" customHeight="1">
      <c r="W2" s="85"/>
      <c r="X2" s="85"/>
    </row>
    <row r="3" spans="8:24" ht="12">
      <c r="H3" s="86" t="s">
        <v>158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</row>
    <row r="4" spans="1:24" ht="12">
      <c r="A4" s="13" t="s">
        <v>1</v>
      </c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</row>
    <row r="5" s="10" customFormat="1" ht="6" customHeight="1"/>
    <row r="6" spans="1:24" ht="12">
      <c r="A6" s="13" t="s">
        <v>2</v>
      </c>
      <c r="H6" s="73" t="s">
        <v>151</v>
      </c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</row>
    <row r="7" s="10" customFormat="1" ht="6" customHeight="1"/>
    <row r="8" spans="1:24" ht="12">
      <c r="A8" s="13" t="s">
        <v>3</v>
      </c>
      <c r="S8" s="88"/>
      <c r="T8" s="88"/>
      <c r="U8" s="88"/>
      <c r="V8" s="88"/>
      <c r="W8" s="88"/>
      <c r="X8" s="88"/>
    </row>
    <row r="9" s="10" customFormat="1" ht="6.75" customHeight="1"/>
    <row r="10" spans="1:24" s="10" customFormat="1" ht="5.25" customHeight="1">
      <c r="A10" s="89" t="s">
        <v>4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90"/>
      <c r="T10" s="90"/>
      <c r="U10" s="90"/>
      <c r="V10" s="90"/>
      <c r="W10" s="90"/>
      <c r="X10" s="90"/>
    </row>
    <row r="11" spans="1:24" ht="11.2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90"/>
      <c r="T11" s="90"/>
      <c r="U11" s="90"/>
      <c r="V11" s="90"/>
      <c r="W11" s="90"/>
      <c r="X11" s="90"/>
    </row>
    <row r="12" spans="1:24" ht="11.25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90"/>
      <c r="T12" s="90"/>
      <c r="U12" s="90"/>
      <c r="V12" s="90"/>
      <c r="W12" s="90"/>
      <c r="X12" s="90"/>
    </row>
    <row r="13" s="15" customFormat="1" ht="4.5" customHeight="1"/>
    <row r="14" spans="1:24" s="10" customFormat="1" ht="12.75" customHeight="1">
      <c r="A14" s="81" t="s">
        <v>60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</row>
    <row r="15" spans="1:24" s="10" customFormat="1" ht="12" customHeight="1">
      <c r="A15" s="82" t="s">
        <v>163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</row>
    <row r="16" spans="1:24" s="10" customFormat="1" ht="12" customHeight="1">
      <c r="A16" s="83" t="s">
        <v>6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</row>
    <row r="17" spans="1:24" ht="24">
      <c r="A17" s="84" t="s">
        <v>7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16" t="s">
        <v>8</v>
      </c>
      <c r="W17" s="16" t="s">
        <v>61</v>
      </c>
      <c r="X17" s="17" t="s">
        <v>155</v>
      </c>
    </row>
    <row r="18" spans="1:24" s="10" customFormat="1" ht="12.75" customHeight="1">
      <c r="A18" s="74" t="s">
        <v>62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31">
        <v>10</v>
      </c>
      <c r="W18" s="21">
        <v>0</v>
      </c>
      <c r="X18" s="24">
        <v>0</v>
      </c>
    </row>
    <row r="19" spans="1:24" s="10" customFormat="1" ht="12.75" customHeight="1">
      <c r="A19" s="95" t="s">
        <v>63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31">
        <v>20</v>
      </c>
      <c r="W19" s="21">
        <v>0</v>
      </c>
      <c r="X19" s="24" t="s">
        <v>16</v>
      </c>
    </row>
    <row r="20" spans="1:24" s="10" customFormat="1" ht="12.75" customHeight="1">
      <c r="A20" s="91" t="s">
        <v>64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32">
        <v>30</v>
      </c>
      <c r="W20" s="19">
        <v>0</v>
      </c>
      <c r="X20" s="29">
        <v>0</v>
      </c>
    </row>
    <row r="21" spans="1:24" s="10" customFormat="1" ht="12.75" customHeight="1">
      <c r="A21" s="80" t="s">
        <v>65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31">
        <v>40</v>
      </c>
      <c r="W21" s="21" t="s">
        <v>16</v>
      </c>
      <c r="X21" s="24" t="s">
        <v>16</v>
      </c>
    </row>
    <row r="22" spans="1:27" s="10" customFormat="1" ht="12.75" customHeight="1">
      <c r="A22" s="80" t="s">
        <v>66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31">
        <v>50</v>
      </c>
      <c r="W22" s="21" t="s">
        <v>16</v>
      </c>
      <c r="X22" s="21">
        <f>13191938/1000</f>
        <v>13191.938</v>
      </c>
      <c r="AA22" s="28">
        <f>X22-X24-X26</f>
        <v>12467.572</v>
      </c>
    </row>
    <row r="23" spans="1:27" s="10" customFormat="1" ht="12.75" customHeight="1">
      <c r="A23" s="80" t="s">
        <v>67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31">
        <v>60</v>
      </c>
      <c r="W23" s="21" t="s">
        <v>16</v>
      </c>
      <c r="X23" s="24" t="s">
        <v>16</v>
      </c>
      <c r="AA23" s="28">
        <f>AA22-X31</f>
        <v>9917.131000000001</v>
      </c>
    </row>
    <row r="24" spans="1:24" s="10" customFormat="1" ht="12.75" customHeight="1">
      <c r="A24" s="80" t="s">
        <v>68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31">
        <v>70</v>
      </c>
      <c r="W24" s="21">
        <f>2763187/1000</f>
        <v>2763.187</v>
      </c>
      <c r="X24" s="21">
        <f>284634/1000</f>
        <v>284.634</v>
      </c>
    </row>
    <row r="25" spans="1:24" s="10" customFormat="1" ht="12.75" customHeight="1">
      <c r="A25" s="80" t="s">
        <v>69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31">
        <v>80</v>
      </c>
      <c r="W25" s="21" t="s">
        <v>16</v>
      </c>
      <c r="X25" s="21" t="s">
        <v>16</v>
      </c>
    </row>
    <row r="26" spans="1:24" s="10" customFormat="1" ht="12.75" customHeight="1">
      <c r="A26" s="95" t="s">
        <v>70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31">
        <v>90</v>
      </c>
      <c r="W26" s="21">
        <f>1978794/1000</f>
        <v>1978.794</v>
      </c>
      <c r="X26" s="21">
        <f>439732/1000</f>
        <v>439.732</v>
      </c>
    </row>
    <row r="27" spans="1:24" s="10" customFormat="1" ht="12.75" customHeight="1">
      <c r="A27" s="80" t="s">
        <v>71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23">
        <v>100</v>
      </c>
      <c r="W27" s="21" t="s">
        <v>16</v>
      </c>
      <c r="X27" s="21" t="s">
        <v>16</v>
      </c>
    </row>
    <row r="28" spans="1:24" ht="23.25" customHeight="1">
      <c r="A28" s="93" t="s">
        <v>72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27">
        <v>110</v>
      </c>
      <c r="W28" s="19">
        <f>-W24-W26</f>
        <v>-4741.981</v>
      </c>
      <c r="X28" s="19">
        <f>X22-X24-X26</f>
        <v>12467.572</v>
      </c>
    </row>
    <row r="29" spans="1:24" s="10" customFormat="1" ht="12.75" customHeight="1">
      <c r="A29" s="80" t="s">
        <v>73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23">
        <v>120</v>
      </c>
      <c r="W29" s="21" t="s">
        <v>16</v>
      </c>
      <c r="X29" s="21" t="s">
        <v>16</v>
      </c>
    </row>
    <row r="30" spans="1:24" s="10" customFormat="1" ht="12.75" customHeight="1">
      <c r="A30" s="91" t="s">
        <v>74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27">
        <v>130</v>
      </c>
      <c r="W30" s="19">
        <f>W28</f>
        <v>-4741.981</v>
      </c>
      <c r="X30" s="19">
        <f>X28</f>
        <v>12467.572</v>
      </c>
    </row>
    <row r="31" spans="1:24" s="10" customFormat="1" ht="12.75" customHeight="1">
      <c r="A31" s="80" t="s">
        <v>75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23">
        <v>140</v>
      </c>
      <c r="W31" s="21" t="s">
        <v>16</v>
      </c>
      <c r="X31" s="21">
        <f>2550441/1000</f>
        <v>2550.441</v>
      </c>
    </row>
    <row r="32" spans="1:24" s="34" customFormat="1" ht="23.25" customHeight="1">
      <c r="A32" s="92" t="s">
        <v>76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33">
        <v>150</v>
      </c>
      <c r="W32" s="21">
        <f>W30</f>
        <v>-4741.981</v>
      </c>
      <c r="X32" s="21">
        <f>X30-X31</f>
        <v>9917.131000000001</v>
      </c>
    </row>
    <row r="33" spans="1:24" s="10" customFormat="1" ht="12.75" customHeight="1">
      <c r="A33" s="80" t="s">
        <v>77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23">
        <v>160</v>
      </c>
      <c r="W33" s="21" t="s">
        <v>16</v>
      </c>
      <c r="X33" s="21" t="s">
        <v>16</v>
      </c>
    </row>
    <row r="34" spans="1:24" s="10" customFormat="1" ht="21.75" customHeight="1">
      <c r="A34" s="93" t="s">
        <v>78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27">
        <v>200</v>
      </c>
      <c r="W34" s="19">
        <f>W30</f>
        <v>-4741.981</v>
      </c>
      <c r="X34" s="19">
        <f>X32</f>
        <v>9917.131000000001</v>
      </c>
    </row>
    <row r="35" spans="1:24" s="10" customFormat="1" ht="12.75" customHeight="1">
      <c r="A35" s="94" t="s">
        <v>79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23">
        <v>210</v>
      </c>
      <c r="W35" s="19" t="s">
        <v>16</v>
      </c>
      <c r="X35" s="19" t="s">
        <v>16</v>
      </c>
    </row>
    <row r="36" spans="1:24" s="10" customFormat="1" ht="12.75" customHeight="1">
      <c r="A36" s="74" t="s">
        <v>80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23">
        <v>220</v>
      </c>
      <c r="W36" s="21" t="s">
        <v>16</v>
      </c>
      <c r="X36" s="21" t="s">
        <v>16</v>
      </c>
    </row>
    <row r="37" spans="1:24" s="10" customFormat="1" ht="12.75" customHeight="1">
      <c r="A37" s="95" t="s">
        <v>81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23">
        <v>230</v>
      </c>
      <c r="W37" s="21" t="s">
        <v>16</v>
      </c>
      <c r="X37" s="21" t="s">
        <v>16</v>
      </c>
    </row>
    <row r="38" spans="1:24" s="10" customFormat="1" ht="12.75" customHeight="1">
      <c r="A38" s="91" t="s">
        <v>82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27">
        <v>240</v>
      </c>
      <c r="W38" s="19">
        <f>W34</f>
        <v>-4741.981</v>
      </c>
      <c r="X38" s="19">
        <f>X34</f>
        <v>9917.131000000001</v>
      </c>
    </row>
    <row r="39" s="10" customFormat="1" ht="18" customHeight="1"/>
    <row r="40" spans="1:23" s="10" customFormat="1" ht="12.75" customHeight="1">
      <c r="A40" s="13" t="s">
        <v>54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W40" s="14"/>
    </row>
    <row r="41" spans="8:23" s="10" customFormat="1" ht="10.5" customHeight="1">
      <c r="H41" s="72" t="s">
        <v>55</v>
      </c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W41" s="30" t="s">
        <v>56</v>
      </c>
    </row>
    <row r="42" spans="1:23" s="10" customFormat="1" ht="12.75" customHeight="1">
      <c r="A42" s="13" t="s">
        <v>57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W42" s="14"/>
    </row>
    <row r="43" spans="8:23" s="10" customFormat="1" ht="9.75" customHeight="1">
      <c r="H43" s="72" t="s">
        <v>55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W43" s="30" t="s">
        <v>56</v>
      </c>
    </row>
    <row r="44" s="10" customFormat="1" ht="12.75" customHeight="1">
      <c r="B44" s="11" t="s">
        <v>58</v>
      </c>
    </row>
    <row r="45" s="10" customFormat="1" ht="12.75" customHeight="1"/>
  </sheetData>
  <sheetProtection/>
  <mergeCells count="35">
    <mergeCell ref="W1:X2"/>
    <mergeCell ref="H3:X4"/>
    <mergeCell ref="H6:X6"/>
    <mergeCell ref="S8:X8"/>
    <mergeCell ref="A10:R12"/>
    <mergeCell ref="S10:X12"/>
    <mergeCell ref="A14:X14"/>
    <mergeCell ref="A15:X15"/>
    <mergeCell ref="A16:X16"/>
    <mergeCell ref="A17:U17"/>
    <mergeCell ref="A18:U18"/>
    <mergeCell ref="A19:U19"/>
    <mergeCell ref="A20:U20"/>
    <mergeCell ref="A21:U21"/>
    <mergeCell ref="A22:U22"/>
    <mergeCell ref="A23:U23"/>
    <mergeCell ref="A24:U24"/>
    <mergeCell ref="A25:U25"/>
    <mergeCell ref="A37:U37"/>
    <mergeCell ref="A26:U26"/>
    <mergeCell ref="A27:U27"/>
    <mergeCell ref="A28:U28"/>
    <mergeCell ref="A29:U29"/>
    <mergeCell ref="A30:U30"/>
    <mergeCell ref="A31:U31"/>
    <mergeCell ref="A38:U38"/>
    <mergeCell ref="H40:U40"/>
    <mergeCell ref="H41:U41"/>
    <mergeCell ref="H42:U42"/>
    <mergeCell ref="H43:U43"/>
    <mergeCell ref="A32:U32"/>
    <mergeCell ref="A33:U33"/>
    <mergeCell ref="A34:U34"/>
    <mergeCell ref="A35:U35"/>
    <mergeCell ref="A36:U36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80"/>
  <sheetViews>
    <sheetView zoomScaleSheetLayoutView="100" zoomScalePageLayoutView="0" workbookViewId="0" topLeftCell="A7">
      <selection activeCell="A27" sqref="A27:U27"/>
    </sheetView>
  </sheetViews>
  <sheetFormatPr defaultColWidth="10.66015625" defaultRowHeight="11.25"/>
  <cols>
    <col min="1" max="2" width="2.83203125" style="11" customWidth="1"/>
    <col min="3" max="3" width="3" style="11" customWidth="1"/>
    <col min="4" max="14" width="2.83203125" style="11" customWidth="1"/>
    <col min="15" max="15" width="3" style="11" customWidth="1"/>
    <col min="16" max="17" width="2.83203125" style="11" customWidth="1"/>
    <col min="18" max="19" width="3.16015625" style="11" customWidth="1"/>
    <col min="20" max="20" width="4.16015625" style="11" customWidth="1"/>
    <col min="21" max="21" width="16" style="11" customWidth="1"/>
    <col min="22" max="22" width="9" style="11" customWidth="1"/>
    <col min="23" max="23" width="20.33203125" style="56" customWidth="1"/>
    <col min="24" max="24" width="20.16015625" style="57" customWidth="1"/>
    <col min="25" max="16384" width="10.66015625" style="12" customWidth="1"/>
  </cols>
  <sheetData>
    <row r="1" spans="23:24" s="10" customFormat="1" ht="14.25" customHeight="1">
      <c r="W1" s="85" t="s">
        <v>59</v>
      </c>
      <c r="X1" s="85"/>
    </row>
    <row r="2" spans="23:24" s="11" customFormat="1" ht="6.75" customHeight="1">
      <c r="W2" s="85"/>
      <c r="X2" s="85"/>
    </row>
    <row r="3" spans="8:24" ht="12">
      <c r="H3" s="86" t="s">
        <v>156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</row>
    <row r="4" spans="1:24" ht="12">
      <c r="A4" s="13" t="s">
        <v>1</v>
      </c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</row>
    <row r="5" spans="23:24" s="10" customFormat="1" ht="6" customHeight="1">
      <c r="W5" s="35"/>
      <c r="X5" s="36"/>
    </row>
    <row r="6" spans="1:24" ht="12">
      <c r="A6" s="13" t="s">
        <v>2</v>
      </c>
      <c r="H6" s="73" t="s">
        <v>151</v>
      </c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</row>
    <row r="7" spans="23:24" s="10" customFormat="1" ht="6" customHeight="1">
      <c r="W7" s="35"/>
      <c r="X7" s="36"/>
    </row>
    <row r="8" spans="1:24" ht="12">
      <c r="A8" s="13" t="s">
        <v>3</v>
      </c>
      <c r="S8" s="88">
        <v>2</v>
      </c>
      <c r="T8" s="88"/>
      <c r="U8" s="88"/>
      <c r="V8" s="88"/>
      <c r="W8" s="88"/>
      <c r="X8" s="88"/>
    </row>
    <row r="9" spans="23:24" s="10" customFormat="1" ht="6.75" customHeight="1">
      <c r="W9" s="35"/>
      <c r="X9" s="36"/>
    </row>
    <row r="10" spans="1:24" s="10" customFormat="1" ht="5.25" customHeight="1">
      <c r="A10" s="89" t="s">
        <v>4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90"/>
      <c r="T10" s="90"/>
      <c r="U10" s="90"/>
      <c r="V10" s="90"/>
      <c r="W10" s="90"/>
      <c r="X10" s="90"/>
    </row>
    <row r="11" spans="1:24" ht="11.2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90"/>
      <c r="T11" s="90"/>
      <c r="U11" s="90"/>
      <c r="V11" s="90"/>
      <c r="W11" s="90"/>
      <c r="X11" s="90"/>
    </row>
    <row r="12" spans="1:24" ht="11.25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90"/>
      <c r="T12" s="90"/>
      <c r="U12" s="90"/>
      <c r="V12" s="90"/>
      <c r="W12" s="90"/>
      <c r="X12" s="90"/>
    </row>
    <row r="13" spans="23:24" s="15" customFormat="1" ht="4.5" customHeight="1">
      <c r="W13" s="37"/>
      <c r="X13" s="38"/>
    </row>
    <row r="14" spans="1:24" s="10" customFormat="1" ht="12.75" customHeight="1">
      <c r="A14" s="81" t="s">
        <v>83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</row>
    <row r="15" spans="1:24" s="10" customFormat="1" ht="12" customHeight="1">
      <c r="A15" s="82" t="s">
        <v>163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</row>
    <row r="16" spans="1:24" s="10" customFormat="1" ht="12" customHeight="1">
      <c r="A16" s="83" t="s">
        <v>6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</row>
    <row r="17" spans="1:24" ht="24">
      <c r="A17" s="84" t="s">
        <v>7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16" t="s">
        <v>8</v>
      </c>
      <c r="W17" s="39" t="s">
        <v>9</v>
      </c>
      <c r="X17" s="40" t="s">
        <v>155</v>
      </c>
    </row>
    <row r="18" spans="1:24" s="10" customFormat="1" ht="12.75" customHeight="1">
      <c r="A18" s="96" t="s">
        <v>84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</row>
    <row r="19" spans="1:24" s="10" customFormat="1" ht="12.75" customHeight="1">
      <c r="A19" s="74" t="s">
        <v>85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27">
        <v>10</v>
      </c>
      <c r="W19" s="41">
        <f>SUM(W21:W25)</f>
        <v>2360</v>
      </c>
      <c r="X19" s="41">
        <f>SUM(X21:X25)</f>
        <v>59029</v>
      </c>
    </row>
    <row r="20" spans="1:24" s="10" customFormat="1" ht="12.75" customHeight="1">
      <c r="A20" s="95" t="s">
        <v>86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42"/>
      <c r="W20" s="43" t="s">
        <v>16</v>
      </c>
      <c r="X20" s="44" t="s">
        <v>16</v>
      </c>
    </row>
    <row r="21" spans="1:24" s="10" customFormat="1" ht="12.75" customHeight="1">
      <c r="A21" s="97" t="s">
        <v>87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23">
        <v>11</v>
      </c>
      <c r="W21" s="43" t="s">
        <v>16</v>
      </c>
      <c r="X21" s="44" t="s">
        <v>16</v>
      </c>
    </row>
    <row r="22" spans="1:24" s="10" customFormat="1" ht="12.75" customHeight="1">
      <c r="A22" s="97" t="s">
        <v>88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23">
        <v>12</v>
      </c>
      <c r="W22" s="43" t="s">
        <v>16</v>
      </c>
      <c r="X22" s="44" t="s">
        <v>16</v>
      </c>
    </row>
    <row r="23" spans="1:24" s="10" customFormat="1" ht="12.75" customHeight="1">
      <c r="A23" s="97" t="s">
        <v>89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23">
        <v>13</v>
      </c>
      <c r="W23" s="45">
        <f>2360000/1000</f>
        <v>2360</v>
      </c>
      <c r="X23" s="44">
        <v>21600</v>
      </c>
    </row>
    <row r="24" spans="1:24" s="10" customFormat="1" ht="12.75" customHeight="1">
      <c r="A24" s="97" t="s">
        <v>90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23">
        <v>14</v>
      </c>
      <c r="W24" s="43" t="s">
        <v>16</v>
      </c>
      <c r="X24" s="44" t="s">
        <v>16</v>
      </c>
    </row>
    <row r="25" spans="1:24" s="10" customFormat="1" ht="12.75" customHeight="1">
      <c r="A25" s="97" t="s">
        <v>91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23">
        <v>15</v>
      </c>
      <c r="W25" s="45"/>
      <c r="X25" s="44">
        <v>37429</v>
      </c>
    </row>
    <row r="26" spans="1:24" s="10" customFormat="1" ht="12.75" customHeight="1">
      <c r="A26" s="80" t="s">
        <v>92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27">
        <v>20</v>
      </c>
      <c r="W26" s="41">
        <f>SUM(W28:W34)</f>
        <v>2540.7439999999997</v>
      </c>
      <c r="X26" s="41">
        <f>SUM(X28:X34)</f>
        <v>46880</v>
      </c>
    </row>
    <row r="27" spans="1:24" s="10" customFormat="1" ht="12.75" customHeight="1">
      <c r="A27" s="95" t="s">
        <v>86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42"/>
      <c r="W27" s="43" t="s">
        <v>16</v>
      </c>
      <c r="X27" s="44" t="s">
        <v>16</v>
      </c>
    </row>
    <row r="28" spans="1:24" s="10" customFormat="1" ht="12.75" customHeight="1">
      <c r="A28" s="97" t="s">
        <v>93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23">
        <v>21</v>
      </c>
      <c r="W28" s="45">
        <f>(50494+25670+250000+22000)/1000</f>
        <v>348.164</v>
      </c>
      <c r="X28" s="44">
        <v>270</v>
      </c>
    </row>
    <row r="29" spans="1:24" s="10" customFormat="1" ht="12.75" customHeight="1">
      <c r="A29" s="97" t="s">
        <v>94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23">
        <v>22</v>
      </c>
      <c r="W29" s="43" t="s">
        <v>16</v>
      </c>
      <c r="X29" s="44" t="s">
        <v>16</v>
      </c>
    </row>
    <row r="30" spans="1:24" s="10" customFormat="1" ht="12.75" customHeight="1">
      <c r="A30" s="97" t="s">
        <v>95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23">
        <v>23</v>
      </c>
      <c r="W30" s="44">
        <f>688500/1000</f>
        <v>688.5</v>
      </c>
      <c r="X30" s="44"/>
    </row>
    <row r="31" spans="1:24" s="10" customFormat="1" ht="12.75" customHeight="1">
      <c r="A31" s="97" t="s">
        <v>96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23">
        <v>24</v>
      </c>
      <c r="W31" s="44" t="s">
        <v>16</v>
      </c>
      <c r="X31" s="44" t="s">
        <v>16</v>
      </c>
    </row>
    <row r="32" spans="1:24" s="10" customFormat="1" ht="12.75" customHeight="1">
      <c r="A32" s="97" t="s">
        <v>97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23">
        <v>25</v>
      </c>
      <c r="W32" s="44" t="s">
        <v>16</v>
      </c>
      <c r="X32" s="44" t="s">
        <v>16</v>
      </c>
    </row>
    <row r="33" spans="1:24" s="10" customFormat="1" ht="12.75" customHeight="1">
      <c r="A33" s="97" t="s">
        <v>98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23">
        <v>26</v>
      </c>
      <c r="W33" s="44">
        <f>(329600+174480)/1000</f>
        <v>504.08</v>
      </c>
      <c r="X33" s="44"/>
    </row>
    <row r="34" spans="1:24" s="10" customFormat="1" ht="12.75" customHeight="1">
      <c r="A34" s="97" t="s">
        <v>99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23">
        <v>27</v>
      </c>
      <c r="W34" s="46">
        <f>1000000/1000</f>
        <v>1000</v>
      </c>
      <c r="X34" s="44">
        <v>46610</v>
      </c>
    </row>
    <row r="35" spans="1:24" s="10" customFormat="1" ht="21.75" customHeight="1">
      <c r="A35" s="92" t="s">
        <v>100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27">
        <v>30</v>
      </c>
      <c r="W35" s="41">
        <f>W19-W26</f>
        <v>-180.7439999999997</v>
      </c>
      <c r="X35" s="41">
        <f>X19-X26</f>
        <v>12149</v>
      </c>
    </row>
    <row r="36" spans="1:24" s="10" customFormat="1" ht="12.75" customHeight="1">
      <c r="A36" s="96" t="s">
        <v>101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</row>
    <row r="37" spans="1:24" s="10" customFormat="1" ht="12.75" customHeight="1">
      <c r="A37" s="74" t="s">
        <v>85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27">
        <v>40</v>
      </c>
      <c r="W37" s="47">
        <f>SUM(W38:W45)</f>
        <v>0</v>
      </c>
      <c r="X37" s="41">
        <f>SUM(X38:X45)</f>
        <v>0</v>
      </c>
    </row>
    <row r="38" spans="1:24" s="10" customFormat="1" ht="12.75" customHeight="1">
      <c r="A38" s="95" t="s">
        <v>86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42"/>
      <c r="W38" s="43" t="s">
        <v>16</v>
      </c>
      <c r="X38" s="44" t="s">
        <v>16</v>
      </c>
    </row>
    <row r="39" spans="1:24" s="10" customFormat="1" ht="12.75" customHeight="1">
      <c r="A39" s="97" t="s">
        <v>102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23">
        <v>41</v>
      </c>
      <c r="W39" s="43" t="s">
        <v>16</v>
      </c>
      <c r="X39" s="44" t="s">
        <v>16</v>
      </c>
    </row>
    <row r="40" spans="1:24" s="10" customFormat="1" ht="12.75" customHeight="1">
      <c r="A40" s="98" t="s">
        <v>103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23">
        <v>42</v>
      </c>
      <c r="W40" s="43" t="s">
        <v>16</v>
      </c>
      <c r="X40" s="44" t="s">
        <v>16</v>
      </c>
    </row>
    <row r="41" spans="1:24" s="10" customFormat="1" ht="12.75" customHeight="1">
      <c r="A41" s="98" t="s">
        <v>104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23">
        <v>43</v>
      </c>
      <c r="W41" s="43" t="s">
        <v>16</v>
      </c>
      <c r="X41" s="44" t="s">
        <v>16</v>
      </c>
    </row>
    <row r="42" spans="1:24" s="10" customFormat="1" ht="12.75" customHeight="1">
      <c r="A42" s="97" t="s">
        <v>105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23">
        <v>44</v>
      </c>
      <c r="W42" s="43" t="s">
        <v>16</v>
      </c>
      <c r="X42" s="44" t="s">
        <v>16</v>
      </c>
    </row>
    <row r="43" spans="1:24" ht="12" customHeight="1">
      <c r="A43" s="99" t="s">
        <v>106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23">
        <v>45</v>
      </c>
      <c r="W43" s="43" t="s">
        <v>16</v>
      </c>
      <c r="X43" s="44" t="s">
        <v>16</v>
      </c>
    </row>
    <row r="44" spans="1:24" s="51" customFormat="1" ht="12" customHeight="1">
      <c r="A44" s="100" t="s">
        <v>107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48">
        <v>46</v>
      </c>
      <c r="W44" s="49" t="s">
        <v>16</v>
      </c>
      <c r="X44" s="50" t="s">
        <v>16</v>
      </c>
    </row>
    <row r="45" spans="1:24" ht="12">
      <c r="A45" s="97" t="s">
        <v>91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23">
        <v>47</v>
      </c>
      <c r="W45" s="43" t="s">
        <v>16</v>
      </c>
      <c r="X45" s="44"/>
    </row>
    <row r="46" spans="1:24" s="10" customFormat="1" ht="12.75" customHeight="1">
      <c r="A46" s="74" t="s">
        <v>92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27">
        <v>50</v>
      </c>
      <c r="W46" s="41">
        <f>SUM(W47:W54)</f>
        <v>2352</v>
      </c>
      <c r="X46" s="41">
        <f>SUM(X47:X54)</f>
        <v>55890</v>
      </c>
    </row>
    <row r="47" spans="1:24" s="10" customFormat="1" ht="12.75" customHeight="1">
      <c r="A47" s="101" t="s">
        <v>86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42"/>
      <c r="W47" s="43" t="s">
        <v>16</v>
      </c>
      <c r="X47" s="44" t="s">
        <v>16</v>
      </c>
    </row>
    <row r="48" spans="1:24" s="10" customFormat="1" ht="12.75" customHeight="1">
      <c r="A48" s="98" t="s">
        <v>108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23">
        <v>51</v>
      </c>
      <c r="W48" s="43" t="s">
        <v>16</v>
      </c>
      <c r="X48" s="44" t="s">
        <v>16</v>
      </c>
    </row>
    <row r="49" spans="1:24" s="10" customFormat="1" ht="12.75" customHeight="1">
      <c r="A49" s="97" t="s">
        <v>109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23">
        <v>52</v>
      </c>
      <c r="W49" s="43" t="s">
        <v>16</v>
      </c>
      <c r="X49" s="44" t="s">
        <v>16</v>
      </c>
    </row>
    <row r="50" spans="1:24" s="10" customFormat="1" ht="12.75" customHeight="1">
      <c r="A50" s="97" t="s">
        <v>110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23">
        <v>53</v>
      </c>
      <c r="W50" s="43">
        <f>2352000/1000</f>
        <v>2352</v>
      </c>
      <c r="X50" s="44" t="s">
        <v>16</v>
      </c>
    </row>
    <row r="51" spans="1:24" s="10" customFormat="1" ht="12.75" customHeight="1">
      <c r="A51" s="97" t="s">
        <v>111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23">
        <v>54</v>
      </c>
      <c r="W51" s="43" t="s">
        <v>16</v>
      </c>
      <c r="X51" s="44" t="s">
        <v>16</v>
      </c>
    </row>
    <row r="52" spans="1:24" s="10" customFormat="1" ht="12.75" customHeight="1">
      <c r="A52" s="97" t="s">
        <v>112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23">
        <v>55</v>
      </c>
      <c r="W52" s="43" t="s">
        <v>16</v>
      </c>
      <c r="X52" s="44"/>
    </row>
    <row r="53" spans="1:24" s="51" customFormat="1" ht="15" customHeight="1">
      <c r="A53" s="102" t="s">
        <v>113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48">
        <v>56</v>
      </c>
      <c r="W53" s="49" t="s">
        <v>16</v>
      </c>
      <c r="X53" s="50" t="s">
        <v>16</v>
      </c>
    </row>
    <row r="54" spans="1:24" s="10" customFormat="1" ht="12.75" customHeight="1">
      <c r="A54" s="98" t="s">
        <v>99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23">
        <v>57</v>
      </c>
      <c r="W54" s="45"/>
      <c r="X54" s="44">
        <v>55890</v>
      </c>
    </row>
    <row r="55" spans="1:24" s="10" customFormat="1" ht="24.75" customHeight="1">
      <c r="A55" s="78" t="s">
        <v>114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27">
        <v>60</v>
      </c>
      <c r="W55" s="41">
        <f>W37-W46</f>
        <v>-2352</v>
      </c>
      <c r="X55" s="41">
        <f>X37-X46</f>
        <v>-55890</v>
      </c>
    </row>
    <row r="56" spans="1:24" s="10" customFormat="1" ht="12.75" customHeight="1">
      <c r="A56" s="96" t="s">
        <v>115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</row>
    <row r="57" spans="1:24" s="10" customFormat="1" ht="12.75" customHeight="1">
      <c r="A57" s="103" t="s">
        <v>85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27">
        <v>70</v>
      </c>
      <c r="W57" s="47">
        <f>SUM(W59:W62)</f>
        <v>3000</v>
      </c>
      <c r="X57" s="41">
        <f>SUM(X59:X62)</f>
        <v>28030</v>
      </c>
    </row>
    <row r="58" spans="1:24" s="10" customFormat="1" ht="12.75" customHeight="1">
      <c r="A58" s="101" t="s">
        <v>86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42"/>
      <c r="W58" s="43" t="s">
        <v>16</v>
      </c>
      <c r="X58" s="44" t="s">
        <v>16</v>
      </c>
    </row>
    <row r="59" spans="1:24" s="10" customFormat="1" ht="12.75" customHeight="1">
      <c r="A59" s="98" t="s">
        <v>116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23">
        <v>71</v>
      </c>
      <c r="W59" s="43" t="s">
        <v>16</v>
      </c>
      <c r="X59" s="44" t="s">
        <v>16</v>
      </c>
    </row>
    <row r="60" spans="1:24" s="10" customFormat="1" ht="12.75" customHeight="1">
      <c r="A60" s="98" t="s">
        <v>117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23">
        <v>72</v>
      </c>
      <c r="W60" s="71">
        <f>3000000/1000</f>
        <v>3000</v>
      </c>
      <c r="X60" s="44">
        <v>18670</v>
      </c>
    </row>
    <row r="61" spans="1:24" s="10" customFormat="1" ht="12.75" customHeight="1">
      <c r="A61" s="98" t="s">
        <v>118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23">
        <v>73</v>
      </c>
      <c r="W61" s="43" t="s">
        <v>16</v>
      </c>
      <c r="X61" s="44" t="s">
        <v>16</v>
      </c>
    </row>
    <row r="62" spans="1:24" s="10" customFormat="1" ht="12.75" customHeight="1">
      <c r="A62" s="98" t="s">
        <v>91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23">
        <v>74</v>
      </c>
      <c r="W62" s="43" t="s">
        <v>16</v>
      </c>
      <c r="X62" s="44">
        <v>9360</v>
      </c>
    </row>
    <row r="63" spans="1:24" s="10" customFormat="1" ht="12.75" customHeight="1">
      <c r="A63" s="103" t="s">
        <v>92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27">
        <v>80</v>
      </c>
      <c r="W63" s="47">
        <f>SUM(W65:W68)</f>
        <v>0</v>
      </c>
      <c r="X63" s="41">
        <f>SUM(X65:X68)</f>
        <v>-16130</v>
      </c>
    </row>
    <row r="64" spans="1:24" s="10" customFormat="1" ht="12.75" customHeight="1">
      <c r="A64" s="101" t="s">
        <v>86</v>
      </c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42"/>
      <c r="W64" s="43" t="s">
        <v>16</v>
      </c>
      <c r="X64" s="44" t="s">
        <v>16</v>
      </c>
    </row>
    <row r="65" spans="1:24" s="10" customFormat="1" ht="12.75" customHeight="1">
      <c r="A65" s="97" t="s">
        <v>119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23">
        <v>81</v>
      </c>
      <c r="W65" s="52" t="s">
        <v>16</v>
      </c>
      <c r="X65" s="44">
        <v>-16130</v>
      </c>
    </row>
    <row r="66" spans="1:24" s="10" customFormat="1" ht="12.75" customHeight="1">
      <c r="A66" s="97" t="s">
        <v>120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23">
        <v>82</v>
      </c>
      <c r="W66" s="43" t="s">
        <v>16</v>
      </c>
      <c r="X66" s="44" t="s">
        <v>16</v>
      </c>
    </row>
    <row r="67" spans="1:24" s="10" customFormat="1" ht="12.75" customHeight="1">
      <c r="A67" s="97" t="s">
        <v>121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23">
        <v>83</v>
      </c>
      <c r="W67" s="43" t="s">
        <v>16</v>
      </c>
      <c r="X67" s="44" t="s">
        <v>16</v>
      </c>
    </row>
    <row r="68" spans="1:24" s="10" customFormat="1" ht="12.75" customHeight="1">
      <c r="A68" s="97" t="s">
        <v>122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23">
        <v>84</v>
      </c>
      <c r="W68" s="43"/>
      <c r="X68" s="44"/>
    </row>
    <row r="69" spans="1:24" s="10" customFormat="1" ht="24" customHeight="1">
      <c r="A69" s="93" t="s">
        <v>123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27">
        <v>90</v>
      </c>
      <c r="W69" s="47">
        <f>W57-W63</f>
        <v>3000</v>
      </c>
      <c r="X69" s="41">
        <f>X57-X63</f>
        <v>44160</v>
      </c>
    </row>
    <row r="70" spans="1:27" s="10" customFormat="1" ht="23.25" customHeight="1">
      <c r="A70" s="93" t="s">
        <v>124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27">
        <v>100</v>
      </c>
      <c r="W70" s="41">
        <f>W35+W55+W69+1</f>
        <v>468.2560000000003</v>
      </c>
      <c r="X70" s="41">
        <f>X35+X55+X69</f>
        <v>419</v>
      </c>
      <c r="AA70" s="70"/>
    </row>
    <row r="71" spans="1:24" ht="12" customHeight="1">
      <c r="A71" s="78" t="s">
        <v>125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23">
        <v>110</v>
      </c>
      <c r="W71" s="53">
        <f>419101/1000</f>
        <v>419.101</v>
      </c>
      <c r="X71" s="44">
        <v>0.091</v>
      </c>
    </row>
    <row r="72" spans="1:24" ht="12" customHeight="1">
      <c r="A72" s="78" t="s">
        <v>126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23">
        <v>120</v>
      </c>
      <c r="W72" s="53">
        <f>886522/1000</f>
        <v>886.522</v>
      </c>
      <c r="X72" s="44">
        <v>418.871</v>
      </c>
    </row>
    <row r="73" spans="23:24" s="10" customFormat="1" ht="18" customHeight="1">
      <c r="W73" s="35"/>
      <c r="X73" s="36"/>
    </row>
    <row r="74" spans="1:24" s="10" customFormat="1" ht="12.75" customHeight="1">
      <c r="A74" s="13" t="s">
        <v>54</v>
      </c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W74" s="54"/>
      <c r="X74" s="36"/>
    </row>
    <row r="75" spans="8:24" s="10" customFormat="1" ht="10.5" customHeight="1">
      <c r="H75" s="72" t="s">
        <v>55</v>
      </c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W75" s="55" t="s">
        <v>56</v>
      </c>
      <c r="X75" s="36"/>
    </row>
    <row r="76" spans="1:24" s="10" customFormat="1" ht="12.75" customHeight="1">
      <c r="A76" s="13" t="s">
        <v>57</v>
      </c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W76" s="54"/>
      <c r="X76" s="36"/>
    </row>
    <row r="77" spans="8:24" s="10" customFormat="1" ht="9.75" customHeight="1">
      <c r="H77" s="72" t="s">
        <v>55</v>
      </c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W77" s="55" t="s">
        <v>56</v>
      </c>
      <c r="X77" s="36"/>
    </row>
    <row r="78" spans="2:24" s="10" customFormat="1" ht="12.75" customHeight="1">
      <c r="B78" s="11" t="s">
        <v>58</v>
      </c>
      <c r="W78" s="35"/>
      <c r="X78" s="36"/>
    </row>
    <row r="79" spans="23:24" s="10" customFormat="1" ht="12.75" customHeight="1">
      <c r="W79" s="35"/>
      <c r="X79" s="36"/>
    </row>
    <row r="80" spans="23:24" s="10" customFormat="1" ht="12.75" customHeight="1">
      <c r="W80" s="35"/>
      <c r="X80" s="36"/>
    </row>
  </sheetData>
  <sheetProtection/>
  <mergeCells count="69">
    <mergeCell ref="H75:U75"/>
    <mergeCell ref="H76:U76"/>
    <mergeCell ref="H77:U77"/>
    <mergeCell ref="A67:U67"/>
    <mergeCell ref="A68:U68"/>
    <mergeCell ref="A69:U69"/>
    <mergeCell ref="A70:U70"/>
    <mergeCell ref="A71:U71"/>
    <mergeCell ref="A72:U72"/>
    <mergeCell ref="A62:U62"/>
    <mergeCell ref="A63:U63"/>
    <mergeCell ref="A64:U64"/>
    <mergeCell ref="A65:U65"/>
    <mergeCell ref="A66:U66"/>
    <mergeCell ref="H74:U74"/>
    <mergeCell ref="A56:X56"/>
    <mergeCell ref="A57:U57"/>
    <mergeCell ref="A58:U58"/>
    <mergeCell ref="A59:U59"/>
    <mergeCell ref="A60:U60"/>
    <mergeCell ref="A61:U61"/>
    <mergeCell ref="A50:U50"/>
    <mergeCell ref="A51:U51"/>
    <mergeCell ref="A52:U52"/>
    <mergeCell ref="A53:U53"/>
    <mergeCell ref="A54:U54"/>
    <mergeCell ref="A55:U55"/>
    <mergeCell ref="A44:U44"/>
    <mergeCell ref="A45:U45"/>
    <mergeCell ref="A46:U46"/>
    <mergeCell ref="A47:U47"/>
    <mergeCell ref="A48:U48"/>
    <mergeCell ref="A49:U49"/>
    <mergeCell ref="A38:U38"/>
    <mergeCell ref="A39:U39"/>
    <mergeCell ref="A40:U40"/>
    <mergeCell ref="A41:U41"/>
    <mergeCell ref="A42:U42"/>
    <mergeCell ref="A43:U43"/>
    <mergeCell ref="A32:U32"/>
    <mergeCell ref="A33:U33"/>
    <mergeCell ref="A34:U34"/>
    <mergeCell ref="A35:U35"/>
    <mergeCell ref="A36:X36"/>
    <mergeCell ref="A37:U37"/>
    <mergeCell ref="A26:U26"/>
    <mergeCell ref="A27:U27"/>
    <mergeCell ref="A28:U28"/>
    <mergeCell ref="A29:U29"/>
    <mergeCell ref="A30:U30"/>
    <mergeCell ref="A31:U31"/>
    <mergeCell ref="A20:U20"/>
    <mergeCell ref="A21:U21"/>
    <mergeCell ref="A22:U22"/>
    <mergeCell ref="A23:U23"/>
    <mergeCell ref="A24:U24"/>
    <mergeCell ref="A25:U25"/>
    <mergeCell ref="A14:X14"/>
    <mergeCell ref="A15:X15"/>
    <mergeCell ref="A16:X16"/>
    <mergeCell ref="A17:U17"/>
    <mergeCell ref="A18:X18"/>
    <mergeCell ref="A19:U19"/>
    <mergeCell ref="W1:X2"/>
    <mergeCell ref="H3:X4"/>
    <mergeCell ref="H6:X6"/>
    <mergeCell ref="S8:X8"/>
    <mergeCell ref="A10:R12"/>
    <mergeCell ref="S10:X12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55"/>
  <sheetViews>
    <sheetView tabSelected="1" zoomScaleSheetLayoutView="100" zoomScalePageLayoutView="0" workbookViewId="0" topLeftCell="A36">
      <selection activeCell="H49" sqref="H49:Q49"/>
    </sheetView>
  </sheetViews>
  <sheetFormatPr defaultColWidth="10.66015625" defaultRowHeight="11.25"/>
  <cols>
    <col min="1" max="2" width="2.83203125" style="11" customWidth="1"/>
    <col min="3" max="3" width="3" style="11" customWidth="1"/>
    <col min="4" max="9" width="2.83203125" style="11" customWidth="1"/>
    <col min="10" max="10" width="6.83203125" style="11" customWidth="1"/>
    <col min="11" max="11" width="2.83203125" style="11" customWidth="1"/>
    <col min="12" max="12" width="13.66015625" style="11" customWidth="1"/>
    <col min="13" max="13" width="23" style="11" customWidth="1"/>
    <col min="14" max="14" width="3" style="11" customWidth="1"/>
    <col min="15" max="15" width="3.66015625" style="11" customWidth="1"/>
    <col min="16" max="16" width="17.5" style="58" customWidth="1"/>
    <col min="17" max="17" width="15.16015625" style="58" customWidth="1"/>
    <col min="18" max="18" width="21.83203125" style="58" customWidth="1"/>
    <col min="19" max="19" width="17.33203125" style="58" customWidth="1"/>
    <col min="20" max="20" width="14.5" style="58" customWidth="1"/>
    <col min="21" max="21" width="15.66015625" style="58" customWidth="1"/>
    <col min="22" max="16384" width="10.66015625" style="12" customWidth="1"/>
  </cols>
  <sheetData>
    <row r="1" spans="16:21" s="10" customFormat="1" ht="14.25" customHeight="1">
      <c r="P1" s="28"/>
      <c r="Q1" s="28"/>
      <c r="R1" s="28"/>
      <c r="S1" s="104" t="s">
        <v>59</v>
      </c>
      <c r="T1" s="104"/>
      <c r="U1" s="104"/>
    </row>
    <row r="2" spans="16:21" s="11" customFormat="1" ht="6.75" customHeight="1">
      <c r="P2" s="58"/>
      <c r="Q2" s="58"/>
      <c r="R2" s="58"/>
      <c r="S2" s="104"/>
      <c r="T2" s="104"/>
      <c r="U2" s="104"/>
    </row>
    <row r="3" spans="8:24" ht="3.75" customHeight="1">
      <c r="H3" s="86" t="s">
        <v>157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</row>
    <row r="4" spans="1:24" ht="12">
      <c r="A4" s="13" t="s">
        <v>1</v>
      </c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</row>
    <row r="5" spans="16:21" s="10" customFormat="1" ht="6" customHeight="1">
      <c r="P5" s="28"/>
      <c r="Q5" s="28"/>
      <c r="R5" s="28"/>
      <c r="S5" s="28"/>
      <c r="T5" s="28"/>
      <c r="U5" s="28"/>
    </row>
    <row r="6" spans="1:24" ht="12">
      <c r="A6" s="13" t="s">
        <v>2</v>
      </c>
      <c r="H6" s="73" t="s">
        <v>151</v>
      </c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</row>
    <row r="7" spans="16:21" s="10" customFormat="1" ht="6" customHeight="1">
      <c r="P7" s="28"/>
      <c r="Q7" s="28"/>
      <c r="R7" s="28"/>
      <c r="S7" s="28"/>
      <c r="T7" s="28"/>
      <c r="U7" s="28"/>
    </row>
    <row r="8" spans="1:21" ht="12">
      <c r="A8" s="13" t="s">
        <v>3</v>
      </c>
      <c r="P8" s="59">
        <v>2</v>
      </c>
      <c r="Q8" s="59"/>
      <c r="R8" s="59"/>
      <c r="S8" s="59"/>
      <c r="T8" s="59"/>
      <c r="U8" s="59"/>
    </row>
    <row r="9" spans="16:21" s="10" customFormat="1" ht="2.25" customHeight="1">
      <c r="P9" s="28"/>
      <c r="Q9" s="28"/>
      <c r="R9" s="28"/>
      <c r="S9" s="28"/>
      <c r="T9" s="28"/>
      <c r="U9" s="28"/>
    </row>
    <row r="10" spans="1:21" s="10" customFormat="1" ht="5.25" customHeight="1">
      <c r="A10" s="89" t="s">
        <v>4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105"/>
      <c r="Q10" s="105"/>
      <c r="R10" s="105"/>
      <c r="S10" s="105"/>
      <c r="T10" s="105"/>
      <c r="U10" s="105"/>
    </row>
    <row r="11" spans="1:21" ht="11.2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105"/>
      <c r="Q11" s="105"/>
      <c r="R11" s="105"/>
      <c r="S11" s="105"/>
      <c r="T11" s="105"/>
      <c r="U11" s="105"/>
    </row>
    <row r="12" spans="1:21" ht="11.25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106"/>
      <c r="Q12" s="106"/>
      <c r="R12" s="106"/>
      <c r="S12" s="106"/>
      <c r="T12" s="106"/>
      <c r="U12" s="106"/>
    </row>
    <row r="13" spans="16:21" s="15" customFormat="1" ht="4.5" customHeight="1">
      <c r="P13" s="60"/>
      <c r="Q13" s="60"/>
      <c r="R13" s="60"/>
      <c r="S13" s="60"/>
      <c r="T13" s="60"/>
      <c r="U13" s="60"/>
    </row>
    <row r="14" spans="1:21" s="10" customFormat="1" ht="12.75" customHeight="1">
      <c r="A14" s="81" t="s">
        <v>127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28"/>
      <c r="T14" s="28"/>
      <c r="U14" s="28"/>
    </row>
    <row r="15" spans="1:24" s="10" customFormat="1" ht="12" customHeight="1" thickBot="1">
      <c r="A15" s="82" t="s">
        <v>163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</row>
    <row r="16" spans="1:21" s="10" customFormat="1" ht="18" customHeight="1" thickBot="1">
      <c r="A16" s="107" t="s">
        <v>128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8" t="s">
        <v>129</v>
      </c>
      <c r="O16" s="108"/>
      <c r="P16" s="109" t="s">
        <v>130</v>
      </c>
      <c r="Q16" s="109"/>
      <c r="R16" s="109"/>
      <c r="S16" s="109"/>
      <c r="T16" s="110" t="s">
        <v>77</v>
      </c>
      <c r="U16" s="111" t="s">
        <v>131</v>
      </c>
    </row>
    <row r="17" spans="1:21" s="10" customFormat="1" ht="21.75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8"/>
      <c r="O17" s="108"/>
      <c r="P17" s="61" t="s">
        <v>47</v>
      </c>
      <c r="Q17" s="61" t="s">
        <v>132</v>
      </c>
      <c r="R17" s="62" t="s">
        <v>133</v>
      </c>
      <c r="S17" s="62" t="s">
        <v>134</v>
      </c>
      <c r="T17" s="110"/>
      <c r="U17" s="111"/>
    </row>
    <row r="18" spans="1:21" s="10" customFormat="1" ht="18" customHeight="1">
      <c r="A18" s="112">
        <v>1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3">
        <v>2</v>
      </c>
      <c r="O18" s="113"/>
      <c r="P18" s="63">
        <v>3</v>
      </c>
      <c r="Q18" s="63">
        <v>4</v>
      </c>
      <c r="R18" s="64">
        <v>5</v>
      </c>
      <c r="S18" s="64">
        <v>6</v>
      </c>
      <c r="T18" s="64">
        <v>7</v>
      </c>
      <c r="U18" s="65">
        <v>8</v>
      </c>
    </row>
    <row r="19" spans="1:21" s="10" customFormat="1" ht="18" customHeight="1">
      <c r="A19" s="114" t="s">
        <v>149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5">
        <v>10</v>
      </c>
      <c r="O19" s="115"/>
      <c r="P19" s="138">
        <v>214468207</v>
      </c>
      <c r="Q19" s="139" t="s">
        <v>16</v>
      </c>
      <c r="R19" s="140">
        <v>5037641</v>
      </c>
      <c r="S19" s="140">
        <v>219506000</v>
      </c>
      <c r="T19" s="141" t="s">
        <v>16</v>
      </c>
      <c r="U19" s="140">
        <v>219506000</v>
      </c>
    </row>
    <row r="20" spans="1:21" s="66" customFormat="1" ht="12" customHeight="1">
      <c r="A20" s="116" t="s">
        <v>135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5">
        <v>20</v>
      </c>
      <c r="O20" s="115"/>
      <c r="P20" s="2" t="s">
        <v>16</v>
      </c>
      <c r="Q20" s="3" t="s">
        <v>16</v>
      </c>
      <c r="R20" s="4" t="s">
        <v>16</v>
      </c>
      <c r="S20" s="4">
        <f aca="true" t="shared" si="0" ref="S20:S30">SUM(P20:R20)</f>
        <v>0</v>
      </c>
      <c r="T20" s="4" t="s">
        <v>16</v>
      </c>
      <c r="U20" s="5">
        <f aca="true" t="shared" si="1" ref="U20:U31">SUM(S20:T20)</f>
        <v>0</v>
      </c>
    </row>
    <row r="21" spans="1:21" ht="12" customHeight="1">
      <c r="A21" s="114" t="s">
        <v>136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9">
        <v>30</v>
      </c>
      <c r="O21" s="119"/>
      <c r="P21" s="138">
        <v>214468207</v>
      </c>
      <c r="Q21" s="139" t="s">
        <v>16</v>
      </c>
      <c r="R21" s="140">
        <f>R19</f>
        <v>5037641</v>
      </c>
      <c r="S21" s="140">
        <v>219506000</v>
      </c>
      <c r="T21" s="141" t="s">
        <v>16</v>
      </c>
      <c r="U21" s="140">
        <v>219506000</v>
      </c>
    </row>
    <row r="22" spans="1:21" s="66" customFormat="1" ht="12" customHeight="1">
      <c r="A22" s="116" t="s">
        <v>137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5">
        <v>31</v>
      </c>
      <c r="O22" s="115"/>
      <c r="P22" s="2" t="s">
        <v>16</v>
      </c>
      <c r="Q22" s="3"/>
      <c r="R22" s="4"/>
      <c r="S22" s="4"/>
      <c r="T22" s="4"/>
      <c r="U22" s="5"/>
    </row>
    <row r="23" spans="1:21" s="66" customFormat="1" ht="12" customHeight="1">
      <c r="A23" s="117" t="s">
        <v>138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5">
        <v>32</v>
      </c>
      <c r="O23" s="115"/>
      <c r="P23" s="2" t="s">
        <v>16</v>
      </c>
      <c r="Q23" s="3" t="s">
        <v>16</v>
      </c>
      <c r="R23" s="4" t="s">
        <v>16</v>
      </c>
      <c r="S23" s="4">
        <f t="shared" si="0"/>
        <v>0</v>
      </c>
      <c r="T23" s="4" t="s">
        <v>16</v>
      </c>
      <c r="U23" s="5">
        <f t="shared" si="1"/>
        <v>0</v>
      </c>
    </row>
    <row r="24" spans="1:21" s="66" customFormat="1" ht="23.25" customHeight="1">
      <c r="A24" s="117" t="s">
        <v>139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22">
        <v>33</v>
      </c>
      <c r="O24" s="122"/>
      <c r="P24" s="2" t="s">
        <v>16</v>
      </c>
      <c r="Q24" s="3" t="s">
        <v>16</v>
      </c>
      <c r="R24" s="4" t="s">
        <v>16</v>
      </c>
      <c r="S24" s="4">
        <f t="shared" si="0"/>
        <v>0</v>
      </c>
      <c r="T24" s="4" t="s">
        <v>16</v>
      </c>
      <c r="U24" s="5">
        <f t="shared" si="1"/>
        <v>0</v>
      </c>
    </row>
    <row r="25" spans="1:21" ht="28.5" customHeight="1">
      <c r="A25" s="114" t="s">
        <v>140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9">
        <v>40</v>
      </c>
      <c r="O25" s="119"/>
      <c r="P25" s="138">
        <v>214468207</v>
      </c>
      <c r="Q25" s="139" t="s">
        <v>16</v>
      </c>
      <c r="R25" s="140">
        <f>R21</f>
        <v>5037641</v>
      </c>
      <c r="S25" s="140">
        <v>219506000</v>
      </c>
      <c r="T25" s="141" t="s">
        <v>16</v>
      </c>
      <c r="U25" s="140">
        <v>219506000</v>
      </c>
    </row>
    <row r="26" spans="1:21" s="66" customFormat="1" ht="12" customHeight="1">
      <c r="A26" s="117" t="s">
        <v>82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5">
        <v>50</v>
      </c>
      <c r="O26" s="115"/>
      <c r="P26" s="2" t="s">
        <v>16</v>
      </c>
      <c r="Q26" s="3" t="s">
        <v>16</v>
      </c>
      <c r="R26" s="4"/>
      <c r="S26" s="4"/>
      <c r="T26" s="4"/>
      <c r="U26" s="5"/>
    </row>
    <row r="27" spans="1:21" ht="24.75" customHeight="1">
      <c r="A27" s="114" t="s">
        <v>141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9">
        <v>60</v>
      </c>
      <c r="O27" s="119"/>
      <c r="P27" s="138">
        <v>214468207</v>
      </c>
      <c r="Q27" s="139" t="s">
        <v>16</v>
      </c>
      <c r="R27" s="140">
        <f>R25</f>
        <v>5037641</v>
      </c>
      <c r="S27" s="140">
        <v>219506000</v>
      </c>
      <c r="T27" s="141" t="s">
        <v>16</v>
      </c>
      <c r="U27" s="140">
        <v>219506000</v>
      </c>
    </row>
    <row r="28" spans="1:21" s="66" customFormat="1" ht="12" customHeight="1">
      <c r="A28" s="117" t="s">
        <v>142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8">
        <v>70</v>
      </c>
      <c r="O28" s="118"/>
      <c r="P28" s="6">
        <v>0</v>
      </c>
      <c r="Q28" s="6">
        <v>0</v>
      </c>
      <c r="R28" s="6">
        <v>0</v>
      </c>
      <c r="S28" s="4">
        <f t="shared" si="0"/>
        <v>0</v>
      </c>
      <c r="T28" s="6">
        <v>0</v>
      </c>
      <c r="U28" s="5">
        <f t="shared" si="1"/>
        <v>0</v>
      </c>
    </row>
    <row r="29" spans="1:21" s="66" customFormat="1" ht="12" customHeight="1">
      <c r="A29" s="117" t="s">
        <v>143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5">
        <v>80</v>
      </c>
      <c r="O29" s="115"/>
      <c r="P29" s="2">
        <v>0</v>
      </c>
      <c r="Q29" s="2">
        <v>0</v>
      </c>
      <c r="R29" s="2">
        <v>0</v>
      </c>
      <c r="S29" s="4">
        <f t="shared" si="0"/>
        <v>0</v>
      </c>
      <c r="T29" s="2">
        <v>0</v>
      </c>
      <c r="U29" s="5">
        <f t="shared" si="1"/>
        <v>0</v>
      </c>
    </row>
    <row r="30" spans="1:21" s="66" customFormat="1" ht="23.25" customHeight="1">
      <c r="A30" s="117" t="s">
        <v>49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5">
        <v>90</v>
      </c>
      <c r="O30" s="115"/>
      <c r="P30" s="2">
        <v>0</v>
      </c>
      <c r="Q30" s="2">
        <v>0</v>
      </c>
      <c r="R30" s="2">
        <v>0</v>
      </c>
      <c r="S30" s="4">
        <f t="shared" si="0"/>
        <v>0</v>
      </c>
      <c r="T30" s="2">
        <v>0</v>
      </c>
      <c r="U30" s="5">
        <f t="shared" si="1"/>
        <v>0</v>
      </c>
    </row>
    <row r="31" spans="1:21" ht="24.75" customHeight="1" thickBot="1">
      <c r="A31" s="114" t="s">
        <v>162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20">
        <v>100</v>
      </c>
      <c r="O31" s="120"/>
      <c r="P31" s="138">
        <v>214468207</v>
      </c>
      <c r="Q31" s="139" t="s">
        <v>16</v>
      </c>
      <c r="R31" s="140">
        <f>R27</f>
        <v>5037641</v>
      </c>
      <c r="S31" s="140">
        <v>219506000</v>
      </c>
      <c r="T31" s="141" t="s">
        <v>16</v>
      </c>
      <c r="U31" s="140">
        <v>219506000</v>
      </c>
    </row>
    <row r="32" spans="1:23" ht="14.25" customHeight="1" thickBot="1">
      <c r="A32" s="107" t="s">
        <v>128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8" t="s">
        <v>129</v>
      </c>
      <c r="O32" s="108"/>
      <c r="P32" s="131" t="s">
        <v>130</v>
      </c>
      <c r="Q32" s="132"/>
      <c r="R32" s="132"/>
      <c r="S32" s="133"/>
      <c r="T32" s="134" t="s">
        <v>77</v>
      </c>
      <c r="U32" s="136" t="s">
        <v>131</v>
      </c>
      <c r="W32" s="67"/>
    </row>
    <row r="33" spans="1:21" ht="24.75" customHeight="1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8"/>
      <c r="O33" s="108"/>
      <c r="P33" s="61" t="s">
        <v>47</v>
      </c>
      <c r="Q33" s="61" t="s">
        <v>132</v>
      </c>
      <c r="R33" s="62" t="s">
        <v>133</v>
      </c>
      <c r="S33" s="62" t="s">
        <v>134</v>
      </c>
      <c r="T33" s="135"/>
      <c r="U33" s="137"/>
    </row>
    <row r="34" spans="1:21" ht="12" customHeight="1">
      <c r="A34" s="112">
        <v>1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3">
        <v>2</v>
      </c>
      <c r="O34" s="113"/>
      <c r="P34" s="63">
        <v>3</v>
      </c>
      <c r="Q34" s="63">
        <v>4</v>
      </c>
      <c r="R34" s="64">
        <v>5</v>
      </c>
      <c r="S34" s="64">
        <v>6</v>
      </c>
      <c r="T34" s="64">
        <v>7</v>
      </c>
      <c r="U34" s="65">
        <v>8</v>
      </c>
    </row>
    <row r="35" spans="1:21" ht="12" customHeight="1">
      <c r="A35" s="123" t="s">
        <v>150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5"/>
      <c r="N35" s="126">
        <v>110</v>
      </c>
      <c r="O35" s="127"/>
      <c r="P35" s="7"/>
      <c r="Q35" s="7"/>
      <c r="R35" s="7"/>
      <c r="S35" s="7"/>
      <c r="T35" s="7"/>
      <c r="U35" s="1"/>
    </row>
    <row r="36" spans="1:21" ht="12" customHeight="1">
      <c r="A36" s="117" t="s">
        <v>135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28">
        <v>120</v>
      </c>
      <c r="O36" s="128"/>
      <c r="P36" s="8"/>
      <c r="Q36" s="8"/>
      <c r="R36" s="8"/>
      <c r="S36" s="7"/>
      <c r="T36" s="8"/>
      <c r="U36" s="1"/>
    </row>
    <row r="37" spans="1:21" ht="12.75" customHeight="1">
      <c r="A37" s="114" t="s">
        <v>144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20">
        <v>130</v>
      </c>
      <c r="O37" s="120"/>
      <c r="P37" s="7"/>
      <c r="Q37" s="7"/>
      <c r="R37" s="7"/>
      <c r="S37" s="7"/>
      <c r="T37" s="7"/>
      <c r="U37" s="7"/>
    </row>
    <row r="38" spans="1:21" ht="12" customHeight="1">
      <c r="A38" s="117" t="s">
        <v>137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28">
        <v>131</v>
      </c>
      <c r="O38" s="128"/>
      <c r="P38" s="8"/>
      <c r="Q38" s="8"/>
      <c r="R38" s="8"/>
      <c r="S38" s="7"/>
      <c r="T38" s="8"/>
      <c r="U38" s="1"/>
    </row>
    <row r="39" spans="1:21" ht="12" customHeight="1">
      <c r="A39" s="117" t="s">
        <v>138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28">
        <v>132</v>
      </c>
      <c r="O39" s="128"/>
      <c r="P39" s="8"/>
      <c r="Q39" s="8"/>
      <c r="R39" s="8"/>
      <c r="S39" s="7"/>
      <c r="T39" s="8"/>
      <c r="U39" s="1"/>
    </row>
    <row r="40" spans="1:21" ht="23.25" customHeight="1">
      <c r="A40" s="117" t="s">
        <v>139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21">
        <v>133</v>
      </c>
      <c r="O40" s="121"/>
      <c r="P40" s="7"/>
      <c r="Q40" s="7"/>
      <c r="R40" s="7"/>
      <c r="S40" s="7"/>
      <c r="T40" s="7"/>
      <c r="U40" s="1"/>
    </row>
    <row r="41" spans="1:21" ht="36" customHeight="1">
      <c r="A41" s="114" t="s">
        <v>145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20">
        <v>140</v>
      </c>
      <c r="O41" s="120"/>
      <c r="P41" s="7"/>
      <c r="Q41" s="7"/>
      <c r="R41" s="7"/>
      <c r="S41" s="7"/>
      <c r="T41" s="7"/>
      <c r="U41" s="7"/>
    </row>
    <row r="42" spans="1:21" s="10" customFormat="1" ht="18" customHeight="1">
      <c r="A42" s="117" t="s">
        <v>146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21">
        <v>150</v>
      </c>
      <c r="O42" s="121"/>
      <c r="P42" s="7"/>
      <c r="Q42" s="7"/>
      <c r="R42" s="7"/>
      <c r="S42" s="7"/>
      <c r="T42" s="7"/>
      <c r="U42" s="1"/>
    </row>
    <row r="43" spans="1:21" ht="24.75" customHeight="1">
      <c r="A43" s="114" t="s">
        <v>147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20">
        <v>160</v>
      </c>
      <c r="O43" s="120"/>
      <c r="P43" s="7"/>
      <c r="Q43" s="7"/>
      <c r="R43" s="7"/>
      <c r="S43" s="7"/>
      <c r="T43" s="7"/>
      <c r="U43" s="7"/>
    </row>
    <row r="44" spans="1:21" s="68" customFormat="1" ht="18" customHeight="1">
      <c r="A44" s="117" t="s">
        <v>142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28">
        <v>170</v>
      </c>
      <c r="O44" s="128"/>
      <c r="P44" s="9"/>
      <c r="Q44" s="9"/>
      <c r="R44" s="9"/>
      <c r="S44" s="9"/>
      <c r="T44" s="9"/>
      <c r="U44" s="5"/>
    </row>
    <row r="45" spans="1:21" s="68" customFormat="1" ht="18" customHeight="1">
      <c r="A45" s="117" t="s">
        <v>143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21">
        <v>180</v>
      </c>
      <c r="O45" s="121"/>
      <c r="P45" s="9"/>
      <c r="Q45" s="9"/>
      <c r="R45" s="9"/>
      <c r="S45" s="9"/>
      <c r="T45" s="9"/>
      <c r="U45" s="5"/>
    </row>
    <row r="46" spans="1:21" s="66" customFormat="1" ht="23.25" customHeight="1">
      <c r="A46" s="117" t="s">
        <v>49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28">
        <v>190</v>
      </c>
      <c r="O46" s="128"/>
      <c r="P46" s="9"/>
      <c r="Q46" s="9"/>
      <c r="R46" s="9"/>
      <c r="S46" s="9"/>
      <c r="T46" s="9"/>
      <c r="U46" s="5"/>
    </row>
    <row r="47" spans="1:21" ht="34.5" customHeight="1" thickBot="1">
      <c r="A47" s="129" t="s">
        <v>154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30">
        <v>200</v>
      </c>
      <c r="O47" s="130"/>
      <c r="P47" s="138">
        <v>214468207</v>
      </c>
      <c r="Q47" s="139" t="s">
        <v>16</v>
      </c>
      <c r="R47" s="140">
        <f>R31</f>
        <v>5037641</v>
      </c>
      <c r="S47" s="140">
        <v>219506000</v>
      </c>
      <c r="T47" s="141" t="s">
        <v>16</v>
      </c>
      <c r="U47" s="140">
        <v>219506000</v>
      </c>
    </row>
    <row r="48" spans="16:21" s="10" customFormat="1" ht="18" customHeight="1">
      <c r="P48" s="28"/>
      <c r="Q48" s="28"/>
      <c r="R48" s="28"/>
      <c r="S48" s="28"/>
      <c r="T48" s="28"/>
      <c r="U48" s="28"/>
    </row>
    <row r="49" spans="1:21" s="10" customFormat="1" ht="12.75" customHeight="1">
      <c r="A49" s="13" t="s">
        <v>54</v>
      </c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28"/>
      <c r="S49" s="28"/>
      <c r="T49" s="28"/>
      <c r="U49" s="28"/>
    </row>
    <row r="50" spans="8:21" s="10" customFormat="1" ht="10.5" customHeight="1">
      <c r="H50" s="30"/>
      <c r="I50" s="30"/>
      <c r="J50" s="30"/>
      <c r="K50" s="30"/>
      <c r="L50" s="30"/>
      <c r="M50" s="30"/>
      <c r="N50" s="30"/>
      <c r="O50" s="30"/>
      <c r="P50" s="69"/>
      <c r="Q50" s="69"/>
      <c r="R50" s="28"/>
      <c r="S50" s="28"/>
      <c r="T50" s="28"/>
      <c r="U50" s="28"/>
    </row>
    <row r="51" spans="8:21" s="10" customFormat="1" ht="5.25" customHeight="1">
      <c r="H51" s="30"/>
      <c r="I51" s="30"/>
      <c r="J51" s="30"/>
      <c r="K51" s="30"/>
      <c r="L51" s="30"/>
      <c r="M51" s="30"/>
      <c r="N51" s="30"/>
      <c r="O51" s="30"/>
      <c r="P51" s="69"/>
      <c r="Q51" s="69"/>
      <c r="R51" s="28"/>
      <c r="S51" s="28"/>
      <c r="T51" s="28"/>
      <c r="U51" s="28"/>
    </row>
    <row r="52" spans="1:21" s="10" customFormat="1" ht="12.75" customHeight="1">
      <c r="A52" s="13" t="s">
        <v>57</v>
      </c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28"/>
      <c r="S52" s="28"/>
      <c r="T52" s="28"/>
      <c r="U52" s="28"/>
    </row>
    <row r="53" spans="8:21" s="10" customFormat="1" ht="9.75" customHeight="1">
      <c r="H53" s="72" t="s">
        <v>55</v>
      </c>
      <c r="I53" s="72"/>
      <c r="J53" s="72"/>
      <c r="K53" s="72"/>
      <c r="L53" s="72"/>
      <c r="M53" s="72"/>
      <c r="N53" s="72"/>
      <c r="O53" s="72"/>
      <c r="P53" s="72"/>
      <c r="Q53" s="72"/>
      <c r="R53" s="28"/>
      <c r="S53" s="28"/>
      <c r="T53" s="28"/>
      <c r="U53" s="28"/>
    </row>
    <row r="54" spans="2:21" s="10" customFormat="1" ht="12.75" customHeight="1">
      <c r="B54" s="11" t="s">
        <v>58</v>
      </c>
      <c r="P54" s="28"/>
      <c r="Q54" s="28"/>
      <c r="R54" s="28"/>
      <c r="S54" s="28"/>
      <c r="T54" s="28"/>
      <c r="U54" s="28"/>
    </row>
    <row r="55" spans="16:21" s="10" customFormat="1" ht="12.75" customHeight="1">
      <c r="P55" s="28"/>
      <c r="Q55" s="28"/>
      <c r="R55" s="28"/>
      <c r="S55" s="28"/>
      <c r="T55" s="28"/>
      <c r="U55" s="28"/>
    </row>
  </sheetData>
  <sheetProtection/>
  <mergeCells count="76">
    <mergeCell ref="H6:X6"/>
    <mergeCell ref="P32:S32"/>
    <mergeCell ref="T32:T33"/>
    <mergeCell ref="U32:U33"/>
    <mergeCell ref="A25:M25"/>
    <mergeCell ref="N25:O25"/>
    <mergeCell ref="A26:M26"/>
    <mergeCell ref="N26:O26"/>
    <mergeCell ref="N29:O29"/>
    <mergeCell ref="N27:O27"/>
    <mergeCell ref="A41:M41"/>
    <mergeCell ref="N41:O41"/>
    <mergeCell ref="A42:M42"/>
    <mergeCell ref="N42:O42"/>
    <mergeCell ref="A43:M43"/>
    <mergeCell ref="A15:X15"/>
    <mergeCell ref="A34:M34"/>
    <mergeCell ref="N34:O34"/>
    <mergeCell ref="N39:O39"/>
    <mergeCell ref="A29:M29"/>
    <mergeCell ref="H53:Q53"/>
    <mergeCell ref="A44:M44"/>
    <mergeCell ref="N44:O44"/>
    <mergeCell ref="A45:M45"/>
    <mergeCell ref="N45:O45"/>
    <mergeCell ref="A46:M46"/>
    <mergeCell ref="N46:O46"/>
    <mergeCell ref="H52:Q52"/>
    <mergeCell ref="A47:M47"/>
    <mergeCell ref="N47:O47"/>
    <mergeCell ref="H49:Q49"/>
    <mergeCell ref="A38:M38"/>
    <mergeCell ref="A35:M35"/>
    <mergeCell ref="N35:O35"/>
    <mergeCell ref="N38:O38"/>
    <mergeCell ref="A39:M39"/>
    <mergeCell ref="A36:M36"/>
    <mergeCell ref="N36:O36"/>
    <mergeCell ref="A37:M37"/>
    <mergeCell ref="N37:O37"/>
    <mergeCell ref="N43:O43"/>
    <mergeCell ref="A40:M40"/>
    <mergeCell ref="N40:O40"/>
    <mergeCell ref="A31:M31"/>
    <mergeCell ref="N31:O31"/>
    <mergeCell ref="A24:M24"/>
    <mergeCell ref="N24:O24"/>
    <mergeCell ref="A32:M33"/>
    <mergeCell ref="N32:O33"/>
    <mergeCell ref="A27:M27"/>
    <mergeCell ref="A28:M28"/>
    <mergeCell ref="N28:O28"/>
    <mergeCell ref="A30:M30"/>
    <mergeCell ref="N30:O30"/>
    <mergeCell ref="A21:M21"/>
    <mergeCell ref="N21:O21"/>
    <mergeCell ref="A22:M22"/>
    <mergeCell ref="N22:O22"/>
    <mergeCell ref="A23:M23"/>
    <mergeCell ref="N23:O23"/>
    <mergeCell ref="A18:M18"/>
    <mergeCell ref="N18:O18"/>
    <mergeCell ref="A19:M19"/>
    <mergeCell ref="N19:O19"/>
    <mergeCell ref="A20:M20"/>
    <mergeCell ref="N20:O20"/>
    <mergeCell ref="S1:U2"/>
    <mergeCell ref="A10:O12"/>
    <mergeCell ref="P10:U12"/>
    <mergeCell ref="A14:R14"/>
    <mergeCell ref="A16:M17"/>
    <mergeCell ref="N16:O17"/>
    <mergeCell ref="P16:S16"/>
    <mergeCell ref="T16:T17"/>
    <mergeCell ref="U16:U17"/>
    <mergeCell ref="H3:X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Tolganay Yerzhanova</dc:creator>
  <cp:keywords/>
  <dc:description/>
  <cp:lastModifiedBy>Tatyana</cp:lastModifiedBy>
  <cp:lastPrinted>2016-10-10T14:18:51Z</cp:lastPrinted>
  <dcterms:created xsi:type="dcterms:W3CDTF">2014-07-10T09:35:28Z</dcterms:created>
  <dcterms:modified xsi:type="dcterms:W3CDTF">2016-10-28T06:41:05Z</dcterms:modified>
  <cp:category/>
  <cp:version/>
  <cp:contentType/>
  <cp:contentStatus/>
  <cp:revision>1</cp:revision>
</cp:coreProperties>
</file>