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0620" activeTab="0"/>
  </bookViews>
  <sheets>
    <sheet name="VREP_700_ND_RESPONDENTundefined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<sst xmlns="http://schemas.openxmlformats.org/spreadsheetml/2006/main" count="10" uniqueCount="10">
  <si>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</si>
  <si>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</si>
  <si>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</si>
  <si>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</si>
  <si>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</si>
  <si>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</si>
  <si>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</si>
  <si>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</si>
  <si>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</si>
  <si>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Наименование: АО 'ТПБ Китая в г.Алматы'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</si>
</sst>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1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2" max="2" width="11.421875" style="0" customWidth="1"/>
    <col min="9" max="9" width="16.421875" style="2" bestFit="1" customWidth="1"/>
  </cols>
  <sheetData>
    <row r="1" spans="3:9" ht="15">
      <c r="C1" t="s">
        <v>9</v>
      </c>
      <c r="I1"/>
    </row>
    <row r="2" spans="1:9" ht="1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s="2" t="s">
        <v>8</v>
      </c>
    </row>
    <row r="3" spans="1:9" ht="15">
      <c r="A3">
        <v>122</v>
      </c>
      <c r="B3" s="1">
        <v>45198</v>
      </c>
      <c r="C3">
        <v>26</v>
      </c>
      <c r="D3" t="str">
        <f>"1001"</f>
        <v>1001</v>
      </c>
      <c r="E3" t="str">
        <f>"Наличность в кассе"</f>
        <v>Наличность в кассе</v>
      </c>
      <c r="F3" t="str">
        <f>"2"</f>
        <v>2</v>
      </c>
      <c r="G3" t="str">
        <f>"3"</f>
        <v>3</v>
      </c>
      <c r="H3" t="str">
        <f>"2"</f>
        <v>2</v>
      </c>
      <c r="I3" s="2">
        <v>89678151.29</v>
      </c>
    </row>
    <row r="4" spans="1:9" ht="15">
      <c r="A4">
        <v>123</v>
      </c>
      <c r="B4" s="1">
        <v>45198</v>
      </c>
      <c r="C4">
        <v>26</v>
      </c>
      <c r="D4" t="str">
        <f>"1001"</f>
        <v>1001</v>
      </c>
      <c r="E4" t="str">
        <f>"Наличность в кассе"</f>
        <v>Наличность в кассе</v>
      </c>
      <c r="F4" t="str">
        <f aca="true" t="shared" si="0" ref="F4:F9">"1"</f>
        <v>1</v>
      </c>
      <c r="G4" t="str">
        <f>"3"</f>
        <v>3</v>
      </c>
      <c r="H4" t="str">
        <f>"1"</f>
        <v>1</v>
      </c>
      <c r="I4" s="2">
        <v>79264746</v>
      </c>
    </row>
    <row r="5" spans="1:9" ht="15">
      <c r="A5">
        <v>120</v>
      </c>
      <c r="B5" s="1">
        <v>45198</v>
      </c>
      <c r="C5">
        <v>26</v>
      </c>
      <c r="D5" t="str">
        <f>"1051"</f>
        <v>1051</v>
      </c>
      <c r="E5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5" t="str">
        <f t="shared" si="0"/>
        <v>1</v>
      </c>
      <c r="G5" t="str">
        <f>"3"</f>
        <v>3</v>
      </c>
      <c r="H5" t="str">
        <f>"1"</f>
        <v>1</v>
      </c>
      <c r="I5" s="2">
        <v>2358433851.58</v>
      </c>
    </row>
    <row r="6" spans="1:9" ht="15">
      <c r="A6">
        <v>126</v>
      </c>
      <c r="B6" s="1">
        <v>45198</v>
      </c>
      <c r="C6">
        <v>26</v>
      </c>
      <c r="D6" t="str">
        <f>"1051"</f>
        <v>1051</v>
      </c>
      <c r="E6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6" t="str">
        <f t="shared" si="0"/>
        <v>1</v>
      </c>
      <c r="G6" t="str">
        <f>"3"</f>
        <v>3</v>
      </c>
      <c r="H6" t="str">
        <f>"2"</f>
        <v>2</v>
      </c>
      <c r="I6" s="2">
        <v>70610110915.71</v>
      </c>
    </row>
    <row r="7" spans="1:9" ht="15">
      <c r="A7">
        <v>146</v>
      </c>
      <c r="B7" s="1">
        <v>45198</v>
      </c>
      <c r="C7">
        <v>26</v>
      </c>
      <c r="D7" t="str">
        <f>"1051"</f>
        <v>1051</v>
      </c>
      <c r="E7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7" t="str">
        <f t="shared" si="0"/>
        <v>1</v>
      </c>
      <c r="G7" t="str">
        <f>"3"</f>
        <v>3</v>
      </c>
      <c r="H7" t="str">
        <f>"3"</f>
        <v>3</v>
      </c>
      <c r="I7" s="2">
        <v>50249.26</v>
      </c>
    </row>
    <row r="8" spans="1:9" ht="15">
      <c r="A8">
        <v>121</v>
      </c>
      <c r="B8" s="1">
        <v>45198</v>
      </c>
      <c r="C8">
        <v>26</v>
      </c>
      <c r="D8" t="str">
        <f>"1052"</f>
        <v>1052</v>
      </c>
      <c r="E8" t="str">
        <f>"Корреспондентские счета в других банках"</f>
        <v>Корреспондентские счета в других банках</v>
      </c>
      <c r="F8" t="str">
        <f t="shared" si="0"/>
        <v>1</v>
      </c>
      <c r="G8" t="str">
        <f aca="true" t="shared" si="1" ref="G8:G15">"4"</f>
        <v>4</v>
      </c>
      <c r="H8" t="str">
        <f>"2"</f>
        <v>2</v>
      </c>
      <c r="I8" s="2">
        <v>141834494.7</v>
      </c>
    </row>
    <row r="9" spans="1:9" ht="15">
      <c r="A9">
        <v>124</v>
      </c>
      <c r="B9" s="1">
        <v>45198</v>
      </c>
      <c r="C9">
        <v>26</v>
      </c>
      <c r="D9" t="str">
        <f>"1052"</f>
        <v>1052</v>
      </c>
      <c r="E9" t="str">
        <f>"Корреспондентские счета в других банках"</f>
        <v>Корреспондентские счета в других банках</v>
      </c>
      <c r="F9" t="str">
        <f t="shared" si="0"/>
        <v>1</v>
      </c>
      <c r="G9" t="str">
        <f t="shared" si="1"/>
        <v>4</v>
      </c>
      <c r="H9" t="str">
        <f>"1"</f>
        <v>1</v>
      </c>
      <c r="I9" s="2">
        <v>15773679.9</v>
      </c>
    </row>
    <row r="10" spans="1:9" ht="15">
      <c r="A10">
        <v>125</v>
      </c>
      <c r="B10" s="1">
        <v>45198</v>
      </c>
      <c r="C10">
        <v>26</v>
      </c>
      <c r="D10" t="str">
        <f>"1052"</f>
        <v>1052</v>
      </c>
      <c r="E10" t="str">
        <f>"Корреспондентские счета в других банках"</f>
        <v>Корреспондентские счета в других банках</v>
      </c>
      <c r="F10" t="str">
        <f>"2"</f>
        <v>2</v>
      </c>
      <c r="G10" t="str">
        <f t="shared" si="1"/>
        <v>4</v>
      </c>
      <c r="H10" t="str">
        <f>"3"</f>
        <v>3</v>
      </c>
      <c r="I10" s="2">
        <v>79664012.86</v>
      </c>
    </row>
    <row r="11" spans="1:9" ht="15">
      <c r="A11">
        <v>127</v>
      </c>
      <c r="B11" s="1">
        <v>45198</v>
      </c>
      <c r="C11">
        <v>26</v>
      </c>
      <c r="D11" t="str">
        <f>"1052"</f>
        <v>1052</v>
      </c>
      <c r="E11" t="str">
        <f>"Корреспондентские счета в других банках"</f>
        <v>Корреспондентские счета в других банках</v>
      </c>
      <c r="F11" t="str">
        <f>"2"</f>
        <v>2</v>
      </c>
      <c r="G11" t="str">
        <f t="shared" si="1"/>
        <v>4</v>
      </c>
      <c r="H11" t="str">
        <f>"2"</f>
        <v>2</v>
      </c>
      <c r="I11" s="2">
        <v>79246888026.36</v>
      </c>
    </row>
    <row r="12" spans="1:9" ht="15">
      <c r="A12">
        <v>128</v>
      </c>
      <c r="B12" s="1">
        <v>45198</v>
      </c>
      <c r="C12">
        <v>26</v>
      </c>
      <c r="D12" t="str">
        <f>"1054"</f>
        <v>1054</v>
      </c>
      <c r="E12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2" t="str">
        <f>"1"</f>
        <v>1</v>
      </c>
      <c r="G12" t="str">
        <f t="shared" si="1"/>
        <v>4</v>
      </c>
      <c r="H12" t="str">
        <f>"2"</f>
        <v>2</v>
      </c>
      <c r="I12" s="2">
        <v>-2534.61</v>
      </c>
    </row>
    <row r="13" spans="1:9" ht="15">
      <c r="A13">
        <v>129</v>
      </c>
      <c r="B13" s="1">
        <v>45198</v>
      </c>
      <c r="C13">
        <v>26</v>
      </c>
      <c r="D13" t="str">
        <f>"1054"</f>
        <v>1054</v>
      </c>
      <c r="E1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3" t="str">
        <f>"2"</f>
        <v>2</v>
      </c>
      <c r="G13" t="str">
        <f t="shared" si="1"/>
        <v>4</v>
      </c>
      <c r="H13" t="str">
        <f>"2"</f>
        <v>2</v>
      </c>
      <c r="I13" s="2">
        <v>-494946.02</v>
      </c>
    </row>
    <row r="14" spans="1:9" ht="15">
      <c r="A14">
        <v>130</v>
      </c>
      <c r="B14" s="1">
        <v>45198</v>
      </c>
      <c r="C14">
        <v>26</v>
      </c>
      <c r="D14" t="str">
        <f>"1054"</f>
        <v>1054</v>
      </c>
      <c r="E14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4" t="str">
        <f>"1"</f>
        <v>1</v>
      </c>
      <c r="G14" t="str">
        <f t="shared" si="1"/>
        <v>4</v>
      </c>
      <c r="H14" t="str">
        <f>"1"</f>
        <v>1</v>
      </c>
      <c r="I14" s="2">
        <v>-2445</v>
      </c>
    </row>
    <row r="15" spans="1:9" ht="15">
      <c r="A15">
        <v>133</v>
      </c>
      <c r="B15" s="1">
        <v>45198</v>
      </c>
      <c r="C15">
        <v>26</v>
      </c>
      <c r="D15" t="str">
        <f>"1054"</f>
        <v>1054</v>
      </c>
      <c r="E15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5" t="str">
        <f>"2"</f>
        <v>2</v>
      </c>
      <c r="G15" t="str">
        <f t="shared" si="1"/>
        <v>4</v>
      </c>
      <c r="H15" t="str">
        <f>"3"</f>
        <v>3</v>
      </c>
      <c r="I15" s="2">
        <v>-229.36</v>
      </c>
    </row>
    <row r="16" spans="1:9" ht="15">
      <c r="A16">
        <v>131</v>
      </c>
      <c r="B16" s="1">
        <v>45198</v>
      </c>
      <c r="C16">
        <v>26</v>
      </c>
      <c r="D16" t="str">
        <f>"1101"</f>
        <v>1101</v>
      </c>
      <c r="E16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16" t="str">
        <f aca="true" t="shared" si="2" ref="F16:F29">"1"</f>
        <v>1</v>
      </c>
      <c r="G16" t="str">
        <f>"3"</f>
        <v>3</v>
      </c>
      <c r="H16" t="str">
        <f>"1"</f>
        <v>1</v>
      </c>
      <c r="I16" s="2">
        <v>21300000000</v>
      </c>
    </row>
    <row r="17" spans="1:9" ht="15">
      <c r="A17">
        <v>134</v>
      </c>
      <c r="B17" s="1">
        <v>45198</v>
      </c>
      <c r="C17">
        <v>26</v>
      </c>
      <c r="D17" t="str">
        <f>"1103"</f>
        <v>1103</v>
      </c>
      <c r="E17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17" t="str">
        <f t="shared" si="2"/>
        <v>1</v>
      </c>
      <c r="G17" t="str">
        <f>"3"</f>
        <v>3</v>
      </c>
      <c r="H17" t="str">
        <f>"2"</f>
        <v>2</v>
      </c>
      <c r="I17" s="2">
        <v>76389670000</v>
      </c>
    </row>
    <row r="18" spans="1:9" ht="15">
      <c r="A18">
        <v>135</v>
      </c>
      <c r="B18" s="1">
        <v>45198</v>
      </c>
      <c r="C18">
        <v>26</v>
      </c>
      <c r="D18" t="str">
        <f>"1103"</f>
        <v>1103</v>
      </c>
      <c r="E18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18" t="str">
        <f t="shared" si="2"/>
        <v>1</v>
      </c>
      <c r="G18" t="str">
        <f>"3"</f>
        <v>3</v>
      </c>
      <c r="H18" t="str">
        <f>"1"</f>
        <v>1</v>
      </c>
      <c r="I18" s="2">
        <v>10000000000</v>
      </c>
    </row>
    <row r="19" spans="1:9" ht="15">
      <c r="A19">
        <v>17</v>
      </c>
      <c r="B19" s="1">
        <v>45198</v>
      </c>
      <c r="C19">
        <v>26</v>
      </c>
      <c r="D19" t="str">
        <f>"1254"</f>
        <v>1254</v>
      </c>
      <c r="E19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F19" t="str">
        <f t="shared" si="2"/>
        <v>1</v>
      </c>
      <c r="G19" t="str">
        <f>"4"</f>
        <v>4</v>
      </c>
      <c r="H19" t="str">
        <f>"2"</f>
        <v>2</v>
      </c>
      <c r="I19" s="2">
        <v>4744700000</v>
      </c>
    </row>
    <row r="20" spans="1:9" ht="15">
      <c r="A20">
        <v>137</v>
      </c>
      <c r="B20" s="1">
        <v>45198</v>
      </c>
      <c r="C20">
        <v>26</v>
      </c>
      <c r="D20" t="str">
        <f>"1267"</f>
        <v>1267</v>
      </c>
      <c r="E20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20" t="str">
        <f t="shared" si="2"/>
        <v>1</v>
      </c>
      <c r="G20" t="str">
        <f>"5"</f>
        <v>5</v>
      </c>
      <c r="H20" t="str">
        <f>"1"</f>
        <v>1</v>
      </c>
      <c r="I20" s="2">
        <v>25000000</v>
      </c>
    </row>
    <row r="21" spans="1:9" ht="15">
      <c r="A21">
        <v>141</v>
      </c>
      <c r="B21" s="1">
        <v>45198</v>
      </c>
      <c r="C21">
        <v>26</v>
      </c>
      <c r="D21" t="str">
        <f>"1267"</f>
        <v>1267</v>
      </c>
      <c r="E2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21" t="str">
        <f t="shared" si="2"/>
        <v>1</v>
      </c>
      <c r="G21" t="str">
        <f>"5"</f>
        <v>5</v>
      </c>
      <c r="H21" t="str">
        <f>"2"</f>
        <v>2</v>
      </c>
      <c r="I21" s="2">
        <v>6168110000</v>
      </c>
    </row>
    <row r="22" spans="1:9" ht="15">
      <c r="A22">
        <v>3</v>
      </c>
      <c r="B22" s="1">
        <v>45198</v>
      </c>
      <c r="C22">
        <v>26</v>
      </c>
      <c r="D22" t="str">
        <f>"1417"</f>
        <v>1417</v>
      </c>
      <c r="E22" t="str">
        <f>"Долгосрочные займы, предоставленные клиентам"</f>
        <v>Долгосрочные займы, предоставленные клиентам</v>
      </c>
      <c r="F22" t="str">
        <f t="shared" si="2"/>
        <v>1</v>
      </c>
      <c r="G22" t="str">
        <f>"5"</f>
        <v>5</v>
      </c>
      <c r="H22" t="str">
        <f aca="true" t="shared" si="3" ref="H22:H29">"1"</f>
        <v>1</v>
      </c>
      <c r="I22" s="2">
        <v>9544999999.97</v>
      </c>
    </row>
    <row r="23" spans="1:9" ht="15">
      <c r="A23">
        <v>139</v>
      </c>
      <c r="B23" s="1">
        <v>45198</v>
      </c>
      <c r="C23">
        <v>26</v>
      </c>
      <c r="D23" t="str">
        <f>"1417"</f>
        <v>1417</v>
      </c>
      <c r="E23" t="str">
        <f>"Долгосрочные займы, предоставленные клиентам"</f>
        <v>Долгосрочные займы, предоставленные клиентам</v>
      </c>
      <c r="F23" t="str">
        <f t="shared" si="2"/>
        <v>1</v>
      </c>
      <c r="G23" t="str">
        <f>"7"</f>
        <v>7</v>
      </c>
      <c r="H23" t="str">
        <f t="shared" si="3"/>
        <v>1</v>
      </c>
      <c r="I23" s="2">
        <v>5164446854.6</v>
      </c>
    </row>
    <row r="24" spans="1:9" ht="15">
      <c r="A24">
        <v>144</v>
      </c>
      <c r="B24" s="1">
        <v>45198</v>
      </c>
      <c r="C24">
        <v>26</v>
      </c>
      <c r="D24" t="str">
        <f>"1428"</f>
        <v>1428</v>
      </c>
      <c r="E24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24" t="str">
        <f t="shared" si="2"/>
        <v>1</v>
      </c>
      <c r="G24" t="str">
        <f>"7"</f>
        <v>7</v>
      </c>
      <c r="H24" t="str">
        <f t="shared" si="3"/>
        <v>1</v>
      </c>
      <c r="I24" s="2">
        <v>-156115744</v>
      </c>
    </row>
    <row r="25" spans="1:9" ht="15">
      <c r="A25">
        <v>143</v>
      </c>
      <c r="B25" s="1">
        <v>45198</v>
      </c>
      <c r="C25">
        <v>26</v>
      </c>
      <c r="D25" t="str">
        <f>"1481"</f>
        <v>1481</v>
      </c>
      <c r="E25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5" t="str">
        <f t="shared" si="2"/>
        <v>1</v>
      </c>
      <c r="G25" t="str">
        <f>"3"</f>
        <v>3</v>
      </c>
      <c r="H25" t="str">
        <f t="shared" si="3"/>
        <v>1</v>
      </c>
      <c r="I25" s="2">
        <v>25500000000</v>
      </c>
    </row>
    <row r="26" spans="1:9" ht="15">
      <c r="A26">
        <v>156</v>
      </c>
      <c r="B26" s="1">
        <v>45198</v>
      </c>
      <c r="C26">
        <v>26</v>
      </c>
      <c r="D26" t="str">
        <f>"1481"</f>
        <v>1481</v>
      </c>
      <c r="E26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6" t="str">
        <f t="shared" si="2"/>
        <v>1</v>
      </c>
      <c r="G26" t="str">
        <f>"1"</f>
        <v>1</v>
      </c>
      <c r="H26" t="str">
        <f t="shared" si="3"/>
        <v>1</v>
      </c>
      <c r="I26" s="2">
        <v>30519463000</v>
      </c>
    </row>
    <row r="27" spans="1:9" ht="15">
      <c r="A27">
        <v>4</v>
      </c>
      <c r="B27" s="1">
        <v>45198</v>
      </c>
      <c r="C27">
        <v>26</v>
      </c>
      <c r="D27" t="str">
        <f>"1482"</f>
        <v>1482</v>
      </c>
      <c r="E27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7" t="str">
        <f t="shared" si="2"/>
        <v>1</v>
      </c>
      <c r="G27" t="str">
        <f>"3"</f>
        <v>3</v>
      </c>
      <c r="H27" t="str">
        <f t="shared" si="3"/>
        <v>1</v>
      </c>
      <c r="I27" s="2">
        <v>-45513857.28</v>
      </c>
    </row>
    <row r="28" spans="1:9" ht="15">
      <c r="A28">
        <v>149</v>
      </c>
      <c r="B28" s="1">
        <v>45198</v>
      </c>
      <c r="C28">
        <v>26</v>
      </c>
      <c r="D28" t="str">
        <f>"1482"</f>
        <v>1482</v>
      </c>
      <c r="E28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8" t="str">
        <f t="shared" si="2"/>
        <v>1</v>
      </c>
      <c r="G28" t="str">
        <f>"1"</f>
        <v>1</v>
      </c>
      <c r="H28" t="str">
        <f t="shared" si="3"/>
        <v>1</v>
      </c>
      <c r="I28" s="2">
        <v>-1782290726.9</v>
      </c>
    </row>
    <row r="29" spans="1:9" ht="15">
      <c r="A29">
        <v>150</v>
      </c>
      <c r="B29" s="1">
        <v>45198</v>
      </c>
      <c r="C29">
        <v>26</v>
      </c>
      <c r="D29" t="str">
        <f>"1483"</f>
        <v>1483</v>
      </c>
      <c r="E29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29" t="str">
        <f t="shared" si="2"/>
        <v>1</v>
      </c>
      <c r="G29" t="str">
        <f>"1"</f>
        <v>1</v>
      </c>
      <c r="H29" t="str">
        <f t="shared" si="3"/>
        <v>1</v>
      </c>
      <c r="I29" s="2">
        <v>330884900.32</v>
      </c>
    </row>
    <row r="30" spans="1:9" ht="15">
      <c r="A30">
        <v>132</v>
      </c>
      <c r="B30" s="1">
        <v>45198</v>
      </c>
      <c r="C30">
        <v>26</v>
      </c>
      <c r="D30" t="str">
        <f>"1602"</f>
        <v>1602</v>
      </c>
      <c r="E30" t="str">
        <f>"Прочие запасы"</f>
        <v>Прочие запасы</v>
      </c>
      <c r="F30">
        <f>""</f>
      </c>
      <c r="G30">
        <f>""</f>
      </c>
      <c r="H30">
        <f>""</f>
      </c>
      <c r="I30" s="2">
        <v>1392220.36</v>
      </c>
    </row>
    <row r="31" spans="1:9" ht="15">
      <c r="A31">
        <v>138</v>
      </c>
      <c r="B31" s="1">
        <v>45198</v>
      </c>
      <c r="C31">
        <v>26</v>
      </c>
      <c r="D31" t="str">
        <f>"1652"</f>
        <v>1652</v>
      </c>
      <c r="E31" t="str">
        <f>"Земля, здания и сооружения"</f>
        <v>Земля, здания и сооружения</v>
      </c>
      <c r="F31">
        <f>""</f>
      </c>
      <c r="G31">
        <f>""</f>
      </c>
      <c r="H31">
        <f>""</f>
      </c>
      <c r="I31" s="2">
        <v>827693188.08</v>
      </c>
    </row>
    <row r="32" spans="1:9" ht="15">
      <c r="A32">
        <v>136</v>
      </c>
      <c r="B32" s="1">
        <v>45198</v>
      </c>
      <c r="C32">
        <v>26</v>
      </c>
      <c r="D32" t="str">
        <f>"1653"</f>
        <v>1653</v>
      </c>
      <c r="E32" t="str">
        <f>"Компьютерное оборудование"</f>
        <v>Компьютерное оборудование</v>
      </c>
      <c r="F32">
        <f>""</f>
      </c>
      <c r="G32">
        <f>""</f>
      </c>
      <c r="H32">
        <f>""</f>
      </c>
      <c r="I32" s="2">
        <v>209998089.42</v>
      </c>
    </row>
    <row r="33" spans="1:9" ht="15">
      <c r="A33">
        <v>140</v>
      </c>
      <c r="B33" s="1">
        <v>45198</v>
      </c>
      <c r="C33">
        <v>26</v>
      </c>
      <c r="D33" t="str">
        <f>"1654"</f>
        <v>1654</v>
      </c>
      <c r="E33" t="str">
        <f>"Прочие основные средства"</f>
        <v>Прочие основные средства</v>
      </c>
      <c r="F33">
        <f>""</f>
      </c>
      <c r="G33">
        <f>""</f>
      </c>
      <c r="H33">
        <f>""</f>
      </c>
      <c r="I33" s="2">
        <v>109936491.12</v>
      </c>
    </row>
    <row r="34" spans="1:9" ht="15">
      <c r="A34">
        <v>1</v>
      </c>
      <c r="B34" s="1">
        <v>45198</v>
      </c>
      <c r="C34">
        <v>26</v>
      </c>
      <c r="D34" t="str">
        <f>"1655"</f>
        <v>1655</v>
      </c>
      <c r="E34" t="str">
        <f>"Активы в форме права пользования"</f>
        <v>Активы в форме права пользования</v>
      </c>
      <c r="F34">
        <f>""</f>
      </c>
      <c r="G34">
        <f>""</f>
      </c>
      <c r="H34">
        <f>""</f>
      </c>
      <c r="I34" s="2">
        <v>109133876.03</v>
      </c>
    </row>
    <row r="35" spans="1:9" ht="15">
      <c r="A35">
        <v>142</v>
      </c>
      <c r="B35" s="1">
        <v>45198</v>
      </c>
      <c r="C35">
        <v>26</v>
      </c>
      <c r="D35" t="str">
        <f>"1657"</f>
        <v>1657</v>
      </c>
      <c r="E35" t="str">
        <f>"Капитальные затраты по активам в форме права пользования"</f>
        <v>Капитальные затраты по активам в форме права пользования</v>
      </c>
      <c r="F35">
        <f>""</f>
      </c>
      <c r="G35">
        <f>""</f>
      </c>
      <c r="H35">
        <f>""</f>
      </c>
      <c r="I35" s="2">
        <v>50448202.36</v>
      </c>
    </row>
    <row r="36" spans="1:9" ht="15">
      <c r="A36">
        <v>2</v>
      </c>
      <c r="B36" s="1">
        <v>45198</v>
      </c>
      <c r="C36">
        <v>26</v>
      </c>
      <c r="D36" t="str">
        <f>"1658"</f>
        <v>1658</v>
      </c>
      <c r="E36" t="str">
        <f>"Транспортные средства"</f>
        <v>Транспортные средства</v>
      </c>
      <c r="F36">
        <f>""</f>
      </c>
      <c r="G36">
        <f>""</f>
      </c>
      <c r="H36">
        <f>""</f>
      </c>
      <c r="I36" s="2">
        <v>39114518</v>
      </c>
    </row>
    <row r="37" spans="1:9" ht="15">
      <c r="A37">
        <v>145</v>
      </c>
      <c r="B37" s="1">
        <v>45198</v>
      </c>
      <c r="C37">
        <v>26</v>
      </c>
      <c r="D37" t="str">
        <f>"1659"</f>
        <v>1659</v>
      </c>
      <c r="E37" t="str">
        <f>"Нематериальные активы"</f>
        <v>Нематериальные активы</v>
      </c>
      <c r="F37">
        <f>""</f>
      </c>
      <c r="G37">
        <f>""</f>
      </c>
      <c r="H37">
        <f>""</f>
      </c>
      <c r="I37" s="2">
        <v>53660337.97</v>
      </c>
    </row>
    <row r="38" spans="1:9" ht="15">
      <c r="A38">
        <v>148</v>
      </c>
      <c r="B38" s="1">
        <v>45198</v>
      </c>
      <c r="C38">
        <v>26</v>
      </c>
      <c r="D38" t="str">
        <f>"1660"</f>
        <v>1660</v>
      </c>
      <c r="E38" t="str">
        <f>"Создаваемые (разрабатываемые) нематериальные активы"</f>
        <v>Создаваемые (разрабатываемые) нематериальные активы</v>
      </c>
      <c r="F38">
        <f>""</f>
      </c>
      <c r="G38">
        <f>""</f>
      </c>
      <c r="H38">
        <f>""</f>
      </c>
      <c r="I38" s="2">
        <v>26804000</v>
      </c>
    </row>
    <row r="39" spans="1:9" ht="15">
      <c r="A39">
        <v>147</v>
      </c>
      <c r="B39" s="1">
        <v>45198</v>
      </c>
      <c r="C39">
        <v>26</v>
      </c>
      <c r="D39" t="str">
        <f>"1692"</f>
        <v>1692</v>
      </c>
      <c r="E39" t="str">
        <f>"Начисленная амортизация по зданиям и сооружениям"</f>
        <v>Начисленная амортизация по зданиям и сооружениям</v>
      </c>
      <c r="F39">
        <f>""</f>
      </c>
      <c r="G39">
        <f>""</f>
      </c>
      <c r="H39">
        <f>""</f>
      </c>
      <c r="I39" s="2">
        <v>-412208187.03</v>
      </c>
    </row>
    <row r="40" spans="1:9" ht="15">
      <c r="A40">
        <v>153</v>
      </c>
      <c r="B40" s="1">
        <v>45198</v>
      </c>
      <c r="C40">
        <v>26</v>
      </c>
      <c r="D40" t="str">
        <f>"1693"</f>
        <v>1693</v>
      </c>
      <c r="E40" t="str">
        <f>"Начисленная амортизация по компьютерному оборудованию"</f>
        <v>Начисленная амортизация по компьютерному оборудованию</v>
      </c>
      <c r="F40">
        <f>""</f>
      </c>
      <c r="G40">
        <f>""</f>
      </c>
      <c r="H40">
        <f>""</f>
      </c>
      <c r="I40" s="2">
        <v>-152836491.89</v>
      </c>
    </row>
    <row r="41" spans="1:9" ht="15">
      <c r="A41">
        <v>154</v>
      </c>
      <c r="B41" s="1">
        <v>45198</v>
      </c>
      <c r="C41">
        <v>26</v>
      </c>
      <c r="D41" t="str">
        <f>"1694"</f>
        <v>1694</v>
      </c>
      <c r="E41" t="str">
        <f>"Начисленная амортизация по прочим основным средствам"</f>
        <v>Начисленная амортизация по прочим основным средствам</v>
      </c>
      <c r="F41">
        <f>""</f>
      </c>
      <c r="G41">
        <f>""</f>
      </c>
      <c r="H41">
        <f>""</f>
      </c>
      <c r="I41" s="2">
        <v>-91008304.89</v>
      </c>
    </row>
    <row r="42" spans="1:9" ht="15">
      <c r="A42">
        <v>151</v>
      </c>
      <c r="B42" s="1">
        <v>45198</v>
      </c>
      <c r="C42">
        <v>26</v>
      </c>
      <c r="D42" t="str">
        <f>"1695"</f>
        <v>1695</v>
      </c>
      <c r="E42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42">
        <f>""</f>
      </c>
      <c r="G42">
        <f>""</f>
      </c>
      <c r="H42">
        <f>""</f>
      </c>
      <c r="I42" s="2">
        <v>-52356767.5</v>
      </c>
    </row>
    <row r="43" spans="1:9" ht="15">
      <c r="A43">
        <v>14</v>
      </c>
      <c r="B43" s="1">
        <v>45198</v>
      </c>
      <c r="C43">
        <v>26</v>
      </c>
      <c r="D43" t="str">
        <f>"1697"</f>
        <v>1697</v>
      </c>
      <c r="E43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43">
        <f>""</f>
      </c>
      <c r="G43">
        <f>""</f>
      </c>
      <c r="H43">
        <f>""</f>
      </c>
      <c r="I43" s="2">
        <v>-7813623.05</v>
      </c>
    </row>
    <row r="44" spans="1:9" ht="15">
      <c r="A44">
        <v>152</v>
      </c>
      <c r="B44" s="1">
        <v>45198</v>
      </c>
      <c r="C44">
        <v>26</v>
      </c>
      <c r="D44" t="str">
        <f>"1698"</f>
        <v>1698</v>
      </c>
      <c r="E44" t="str">
        <f>"Начисленная амортизация по транспортным средствам"</f>
        <v>Начисленная амортизация по транспортным средствам</v>
      </c>
      <c r="F44">
        <f>""</f>
      </c>
      <c r="G44">
        <f>""</f>
      </c>
      <c r="H44">
        <f>""</f>
      </c>
      <c r="I44" s="2">
        <v>-39114518</v>
      </c>
    </row>
    <row r="45" spans="1:9" ht="15">
      <c r="A45">
        <v>155</v>
      </c>
      <c r="B45" s="1">
        <v>45198</v>
      </c>
      <c r="C45">
        <v>26</v>
      </c>
      <c r="D45" t="str">
        <f>"1699"</f>
        <v>1699</v>
      </c>
      <c r="E45" t="str">
        <f>"Начисленная амортизация по нематериальным активам"</f>
        <v>Начисленная амортизация по нематериальным активам</v>
      </c>
      <c r="F45">
        <f>""</f>
      </c>
      <c r="G45">
        <f>""</f>
      </c>
      <c r="H45">
        <f>""</f>
      </c>
      <c r="I45" s="2">
        <v>-38039684.97</v>
      </c>
    </row>
    <row r="46" spans="1:9" ht="15">
      <c r="A46">
        <v>5</v>
      </c>
      <c r="B46" s="1">
        <v>45198</v>
      </c>
      <c r="C46">
        <v>26</v>
      </c>
      <c r="D46" t="str">
        <f>"1710"</f>
        <v>1710</v>
      </c>
      <c r="E46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46" t="str">
        <f aca="true" t="shared" si="4" ref="F46:F53">"1"</f>
        <v>1</v>
      </c>
      <c r="G46" t="str">
        <f>"3"</f>
        <v>3</v>
      </c>
      <c r="H46" t="str">
        <f>"2"</f>
        <v>2</v>
      </c>
      <c r="I46" s="2">
        <v>655163169.25</v>
      </c>
    </row>
    <row r="47" spans="1:9" ht="15">
      <c r="A47">
        <v>26</v>
      </c>
      <c r="B47" s="1">
        <v>45198</v>
      </c>
      <c r="C47">
        <v>26</v>
      </c>
      <c r="D47" t="str">
        <f>"1710"</f>
        <v>1710</v>
      </c>
      <c r="E47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47" t="str">
        <f t="shared" si="4"/>
        <v>1</v>
      </c>
      <c r="G47" t="str">
        <f>"3"</f>
        <v>3</v>
      </c>
      <c r="H47" t="str">
        <f>"1"</f>
        <v>1</v>
      </c>
      <c r="I47" s="2">
        <v>23379166.65</v>
      </c>
    </row>
    <row r="48" spans="1:9" ht="15">
      <c r="A48">
        <v>9</v>
      </c>
      <c r="B48" s="1">
        <v>45198</v>
      </c>
      <c r="C48">
        <v>26</v>
      </c>
      <c r="D48" t="str">
        <f>"1725"</f>
        <v>1725</v>
      </c>
      <c r="E48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48" t="str">
        <f t="shared" si="4"/>
        <v>1</v>
      </c>
      <c r="G48" t="str">
        <f>"4"</f>
        <v>4</v>
      </c>
      <c r="H48" t="str">
        <f>"2"</f>
        <v>2</v>
      </c>
      <c r="I48" s="2">
        <v>13996874.49</v>
      </c>
    </row>
    <row r="49" spans="1:9" ht="15">
      <c r="A49">
        <v>6</v>
      </c>
      <c r="B49" s="1">
        <v>45198</v>
      </c>
      <c r="C49">
        <v>26</v>
      </c>
      <c r="D49" t="str">
        <f>"1740"</f>
        <v>1740</v>
      </c>
      <c r="E49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49" t="str">
        <f t="shared" si="4"/>
        <v>1</v>
      </c>
      <c r="G49" t="str">
        <f>"7"</f>
        <v>7</v>
      </c>
      <c r="H49" t="str">
        <f aca="true" t="shared" si="5" ref="H49:H58">"1"</f>
        <v>1</v>
      </c>
      <c r="I49" s="2">
        <v>291437518.05</v>
      </c>
    </row>
    <row r="50" spans="1:9" ht="15">
      <c r="A50">
        <v>7</v>
      </c>
      <c r="B50" s="1">
        <v>45198</v>
      </c>
      <c r="C50">
        <v>26</v>
      </c>
      <c r="D50" t="str">
        <f>"1740"</f>
        <v>1740</v>
      </c>
      <c r="E50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50" t="str">
        <f t="shared" si="4"/>
        <v>1</v>
      </c>
      <c r="G50" t="str">
        <f>"5"</f>
        <v>5</v>
      </c>
      <c r="H50" t="str">
        <f t="shared" si="5"/>
        <v>1</v>
      </c>
      <c r="I50" s="2">
        <v>138735182.65</v>
      </c>
    </row>
    <row r="51" spans="1:9" ht="15">
      <c r="A51">
        <v>23</v>
      </c>
      <c r="B51" s="1">
        <v>45198</v>
      </c>
      <c r="C51">
        <v>26</v>
      </c>
      <c r="D51" t="str">
        <f>"1745"</f>
        <v>1745</v>
      </c>
      <c r="E51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51" t="str">
        <f t="shared" si="4"/>
        <v>1</v>
      </c>
      <c r="G51" t="str">
        <f>"1"</f>
        <v>1</v>
      </c>
      <c r="H51" t="str">
        <f t="shared" si="5"/>
        <v>1</v>
      </c>
      <c r="I51" s="2">
        <v>1049341152.53</v>
      </c>
    </row>
    <row r="52" spans="1:9" ht="15">
      <c r="A52">
        <v>8</v>
      </c>
      <c r="B52" s="1">
        <v>45198</v>
      </c>
      <c r="C52">
        <v>26</v>
      </c>
      <c r="D52" t="str">
        <f>"1793"</f>
        <v>1793</v>
      </c>
      <c r="E52" t="str">
        <f>"Расходы будущих периодов"</f>
        <v>Расходы будущих периодов</v>
      </c>
      <c r="F52" t="str">
        <f t="shared" si="4"/>
        <v>1</v>
      </c>
      <c r="G52" t="str">
        <f>"7"</f>
        <v>7</v>
      </c>
      <c r="H52" t="str">
        <f t="shared" si="5"/>
        <v>1</v>
      </c>
      <c r="I52" s="2">
        <v>12164118.54</v>
      </c>
    </row>
    <row r="53" spans="1:9" ht="15">
      <c r="A53">
        <v>15</v>
      </c>
      <c r="B53" s="1">
        <v>45198</v>
      </c>
      <c r="C53">
        <v>26</v>
      </c>
      <c r="D53" t="str">
        <f>"1793"</f>
        <v>1793</v>
      </c>
      <c r="E53" t="str">
        <f>"Расходы будущих периодов"</f>
        <v>Расходы будущих периодов</v>
      </c>
      <c r="F53" t="str">
        <f t="shared" si="4"/>
        <v>1</v>
      </c>
      <c r="G53" t="str">
        <f>"6"</f>
        <v>6</v>
      </c>
      <c r="H53" t="str">
        <f t="shared" si="5"/>
        <v>1</v>
      </c>
      <c r="I53" s="2">
        <v>17305.5</v>
      </c>
    </row>
    <row r="54" spans="1:9" ht="15">
      <c r="A54">
        <v>30</v>
      </c>
      <c r="B54" s="1">
        <v>45198</v>
      </c>
      <c r="C54">
        <v>26</v>
      </c>
      <c r="D54" t="str">
        <f>"1793"</f>
        <v>1793</v>
      </c>
      <c r="E54" t="str">
        <f>"Расходы будущих периодов"</f>
        <v>Расходы будущих периодов</v>
      </c>
      <c r="F54" t="str">
        <f>"2"</f>
        <v>2</v>
      </c>
      <c r="G54" t="str">
        <f>"7"</f>
        <v>7</v>
      </c>
      <c r="H54" t="str">
        <f t="shared" si="5"/>
        <v>1</v>
      </c>
      <c r="I54" s="2">
        <v>4261923.18</v>
      </c>
    </row>
    <row r="55" spans="1:9" ht="15">
      <c r="A55">
        <v>10</v>
      </c>
      <c r="B55" s="1">
        <v>45198</v>
      </c>
      <c r="C55">
        <v>26</v>
      </c>
      <c r="D55" t="str">
        <f>"1799"</f>
        <v>1799</v>
      </c>
      <c r="E55" t="str">
        <f>"Прочие предоплаты"</f>
        <v>Прочие предоплаты</v>
      </c>
      <c r="F55" t="str">
        <f aca="true" t="shared" si="6" ref="F55:F60">"1"</f>
        <v>1</v>
      </c>
      <c r="G55" t="str">
        <f>"5"</f>
        <v>5</v>
      </c>
      <c r="H55" t="str">
        <f t="shared" si="5"/>
        <v>1</v>
      </c>
      <c r="I55" s="2">
        <v>129529.02</v>
      </c>
    </row>
    <row r="56" spans="1:9" ht="15">
      <c r="A56">
        <v>11</v>
      </c>
      <c r="B56" s="1">
        <v>45198</v>
      </c>
      <c r="C56">
        <v>26</v>
      </c>
      <c r="D56" t="str">
        <f>"1799"</f>
        <v>1799</v>
      </c>
      <c r="E56" t="str">
        <f>"Прочие предоплаты"</f>
        <v>Прочие предоплаты</v>
      </c>
      <c r="F56" t="str">
        <f t="shared" si="6"/>
        <v>1</v>
      </c>
      <c r="G56" t="str">
        <f>"7"</f>
        <v>7</v>
      </c>
      <c r="H56" t="str">
        <f t="shared" si="5"/>
        <v>1</v>
      </c>
      <c r="I56" s="2">
        <v>9897244.46</v>
      </c>
    </row>
    <row r="57" spans="1:9" ht="15">
      <c r="A57">
        <v>16</v>
      </c>
      <c r="B57" s="1">
        <v>45198</v>
      </c>
      <c r="C57">
        <v>26</v>
      </c>
      <c r="D57" t="str">
        <f>"1799"</f>
        <v>1799</v>
      </c>
      <c r="E57" t="str">
        <f>"Прочие предоплаты"</f>
        <v>Прочие предоплаты</v>
      </c>
      <c r="F57" t="str">
        <f t="shared" si="6"/>
        <v>1</v>
      </c>
      <c r="G57" t="str">
        <f>"8"</f>
        <v>8</v>
      </c>
      <c r="H57" t="str">
        <f t="shared" si="5"/>
        <v>1</v>
      </c>
      <c r="I57" s="2">
        <v>345000</v>
      </c>
    </row>
    <row r="58" spans="1:9" ht="15">
      <c r="A58">
        <v>18</v>
      </c>
      <c r="B58" s="1">
        <v>45198</v>
      </c>
      <c r="C58">
        <v>26</v>
      </c>
      <c r="D58" t="str">
        <f>"1799"</f>
        <v>1799</v>
      </c>
      <c r="E58" t="str">
        <f>"Прочие предоплаты"</f>
        <v>Прочие предоплаты</v>
      </c>
      <c r="F58" t="str">
        <f t="shared" si="6"/>
        <v>1</v>
      </c>
      <c r="G58" t="str">
        <f>"6"</f>
        <v>6</v>
      </c>
      <c r="H58" t="str">
        <f t="shared" si="5"/>
        <v>1</v>
      </c>
      <c r="I58" s="2">
        <v>52330</v>
      </c>
    </row>
    <row r="59" spans="1:9" ht="15">
      <c r="A59">
        <v>42</v>
      </c>
      <c r="B59" s="1">
        <v>45198</v>
      </c>
      <c r="C59">
        <v>26</v>
      </c>
      <c r="D59" t="str">
        <f>"1818"</f>
        <v>1818</v>
      </c>
      <c r="E59" t="str">
        <f>"Начисленные прочие комиссионные доходы"</f>
        <v>Начисленные прочие комиссионные доходы</v>
      </c>
      <c r="F59" t="str">
        <f t="shared" si="6"/>
        <v>1</v>
      </c>
      <c r="G59">
        <f>""</f>
      </c>
      <c r="H59" t="str">
        <f>"2"</f>
        <v>2</v>
      </c>
      <c r="I59" s="2">
        <v>70.49</v>
      </c>
    </row>
    <row r="60" spans="1:9" ht="15">
      <c r="A60">
        <v>22</v>
      </c>
      <c r="B60" s="1">
        <v>45198</v>
      </c>
      <c r="C60">
        <v>26</v>
      </c>
      <c r="D60" t="str">
        <f>"1851"</f>
        <v>1851</v>
      </c>
      <c r="E60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60" t="str">
        <f t="shared" si="6"/>
        <v>1</v>
      </c>
      <c r="G60" t="str">
        <f>"1"</f>
        <v>1</v>
      </c>
      <c r="H60" t="str">
        <f>"1"</f>
        <v>1</v>
      </c>
      <c r="I60" s="2">
        <v>893820.55</v>
      </c>
    </row>
    <row r="61" spans="1:9" ht="15">
      <c r="A61">
        <v>12</v>
      </c>
      <c r="B61" s="1">
        <v>45198</v>
      </c>
      <c r="C61">
        <v>26</v>
      </c>
      <c r="D61" t="str">
        <f>"1854"</f>
        <v>1854</v>
      </c>
      <c r="E61" t="str">
        <f>"Расчеты с работниками"</f>
        <v>Расчеты с работниками</v>
      </c>
      <c r="F61">
        <f>""</f>
      </c>
      <c r="G61">
        <f>""</f>
      </c>
      <c r="H61">
        <f>""</f>
      </c>
      <c r="I61" s="2">
        <v>6652417.96</v>
      </c>
    </row>
    <row r="62" spans="1:9" ht="15">
      <c r="A62">
        <v>19</v>
      </c>
      <c r="B62" s="1">
        <v>45198</v>
      </c>
      <c r="C62">
        <v>26</v>
      </c>
      <c r="D62" t="str">
        <f>"1856"</f>
        <v>1856</v>
      </c>
      <c r="E62" t="str">
        <f>"Дебиторы по капитальным вложениям"</f>
        <v>Дебиторы по капитальным вложениям</v>
      </c>
      <c r="F62" t="str">
        <f>"1"</f>
        <v>1</v>
      </c>
      <c r="G62" t="str">
        <f>"7"</f>
        <v>7</v>
      </c>
      <c r="H62" t="str">
        <f>"1"</f>
        <v>1</v>
      </c>
      <c r="I62" s="2">
        <v>39786659.5</v>
      </c>
    </row>
    <row r="63" spans="1:9" ht="15">
      <c r="A63">
        <v>20</v>
      </c>
      <c r="B63" s="1">
        <v>45198</v>
      </c>
      <c r="C63">
        <v>26</v>
      </c>
      <c r="D63" t="str">
        <f>"1856"</f>
        <v>1856</v>
      </c>
      <c r="E63" t="str">
        <f>"Дебиторы по капитальным вложениям"</f>
        <v>Дебиторы по капитальным вложениям</v>
      </c>
      <c r="F63" t="str">
        <f>"1"</f>
        <v>1</v>
      </c>
      <c r="G63" t="str">
        <f>"9"</f>
        <v>9</v>
      </c>
      <c r="H63" t="str">
        <f>"1"</f>
        <v>1</v>
      </c>
      <c r="I63" s="2">
        <v>10423500</v>
      </c>
    </row>
    <row r="64" spans="1:9" ht="15">
      <c r="A64">
        <v>13</v>
      </c>
      <c r="B64" s="1">
        <v>45198</v>
      </c>
      <c r="C64">
        <v>26</v>
      </c>
      <c r="D64" t="str">
        <f>"1857"</f>
        <v>1857</v>
      </c>
      <c r="E64" t="str">
        <f>"Отложенные налоговые активы"</f>
        <v>Отложенные налоговые активы</v>
      </c>
      <c r="F64">
        <f>""</f>
      </c>
      <c r="G64">
        <f>""</f>
      </c>
      <c r="H64">
        <f>""</f>
      </c>
      <c r="I64" s="2">
        <v>103538331</v>
      </c>
    </row>
    <row r="65" spans="1:9" ht="15">
      <c r="A65">
        <v>21</v>
      </c>
      <c r="B65" s="1">
        <v>45198</v>
      </c>
      <c r="C65">
        <v>26</v>
      </c>
      <c r="D65" t="str">
        <f>"1867"</f>
        <v>1867</v>
      </c>
      <c r="E65" t="str">
        <f>"Прочие дебиторы по неосновной деятельности"</f>
        <v>Прочие дебиторы по неосновной деятельности</v>
      </c>
      <c r="F65" t="str">
        <f>"1"</f>
        <v>1</v>
      </c>
      <c r="G65" t="str">
        <f>"5"</f>
        <v>5</v>
      </c>
      <c r="H65" t="str">
        <f>"1"</f>
        <v>1</v>
      </c>
      <c r="I65" s="2">
        <v>431250</v>
      </c>
    </row>
    <row r="66" spans="1:9" ht="15">
      <c r="A66">
        <v>24</v>
      </c>
      <c r="B66" s="1">
        <v>45198</v>
      </c>
      <c r="C66">
        <v>26</v>
      </c>
      <c r="D66" t="str">
        <f>"1867"</f>
        <v>1867</v>
      </c>
      <c r="E66" t="str">
        <f>"Прочие дебиторы по неосновной деятельности"</f>
        <v>Прочие дебиторы по неосновной деятельности</v>
      </c>
      <c r="F66" t="str">
        <f>"1"</f>
        <v>1</v>
      </c>
      <c r="G66" t="str">
        <f>"9"</f>
        <v>9</v>
      </c>
      <c r="H66" t="str">
        <f>"1"</f>
        <v>1</v>
      </c>
      <c r="I66" s="2">
        <v>648000</v>
      </c>
    </row>
    <row r="67" spans="1:9" ht="15">
      <c r="A67">
        <v>25</v>
      </c>
      <c r="B67" s="1">
        <v>45198</v>
      </c>
      <c r="C67">
        <v>26</v>
      </c>
      <c r="D67" t="str">
        <f>"1867"</f>
        <v>1867</v>
      </c>
      <c r="E67" t="str">
        <f>"Прочие дебиторы по неосновной деятельности"</f>
        <v>Прочие дебиторы по неосновной деятельности</v>
      </c>
      <c r="F67" t="str">
        <f>"1"</f>
        <v>1</v>
      </c>
      <c r="G67" t="str">
        <f>"7"</f>
        <v>7</v>
      </c>
      <c r="H67" t="str">
        <f>"1"</f>
        <v>1</v>
      </c>
      <c r="I67" s="2">
        <v>8556540</v>
      </c>
    </row>
    <row r="68" spans="1:9" ht="15">
      <c r="A68">
        <v>35</v>
      </c>
      <c r="B68" s="1">
        <v>45198</v>
      </c>
      <c r="C68">
        <v>26</v>
      </c>
      <c r="D68" t="str">
        <f>"1867"</f>
        <v>1867</v>
      </c>
      <c r="E68" t="str">
        <f>"Прочие дебиторы по неосновной деятельности"</f>
        <v>Прочие дебиторы по неосновной деятельности</v>
      </c>
      <c r="F68" t="str">
        <f>"2"</f>
        <v>2</v>
      </c>
      <c r="G68" t="str">
        <f>"7"</f>
        <v>7</v>
      </c>
      <c r="H68" t="str">
        <f>"2"</f>
        <v>2</v>
      </c>
      <c r="I68" s="2">
        <v>32495000</v>
      </c>
    </row>
    <row r="69" spans="1:9" ht="15">
      <c r="A69">
        <v>63</v>
      </c>
      <c r="B69" s="1">
        <v>45198</v>
      </c>
      <c r="C69">
        <v>26</v>
      </c>
      <c r="D69" t="str">
        <f>"2012"</f>
        <v>2012</v>
      </c>
      <c r="E69" t="str">
        <f>"Корреспондентские счета иностранных центральных банков"</f>
        <v>Корреспондентские счета иностранных центральных банков</v>
      </c>
      <c r="F69" t="str">
        <f>"2"</f>
        <v>2</v>
      </c>
      <c r="G69" t="str">
        <f>"3"</f>
        <v>3</v>
      </c>
      <c r="H69" t="str">
        <f>"2"</f>
        <v>2</v>
      </c>
      <c r="I69" s="2">
        <v>8662923821.72</v>
      </c>
    </row>
    <row r="70" spans="1:9" ht="15">
      <c r="A70">
        <v>27</v>
      </c>
      <c r="B70" s="1">
        <v>45198</v>
      </c>
      <c r="C70">
        <v>26</v>
      </c>
      <c r="D70" t="str">
        <f>"2013"</f>
        <v>2013</v>
      </c>
      <c r="E70" t="str">
        <f>"Корреспондентские счета других банков"</f>
        <v>Корреспондентские счета других банков</v>
      </c>
      <c r="F70" t="str">
        <f>"1"</f>
        <v>1</v>
      </c>
      <c r="G70" t="str">
        <f>"4"</f>
        <v>4</v>
      </c>
      <c r="H70" t="str">
        <f>"1"</f>
        <v>1</v>
      </c>
      <c r="I70" s="2">
        <v>601312314.03</v>
      </c>
    </row>
    <row r="71" spans="1:9" ht="15">
      <c r="A71">
        <v>28</v>
      </c>
      <c r="B71" s="1">
        <v>45198</v>
      </c>
      <c r="C71">
        <v>26</v>
      </c>
      <c r="D71" t="str">
        <f>"2013"</f>
        <v>2013</v>
      </c>
      <c r="E71" t="str">
        <f>"Корреспондентские счета других банков"</f>
        <v>Корреспондентские счета других банков</v>
      </c>
      <c r="F71" t="str">
        <f>"1"</f>
        <v>1</v>
      </c>
      <c r="G71" t="str">
        <f>"4"</f>
        <v>4</v>
      </c>
      <c r="H71" t="str">
        <f>"2"</f>
        <v>2</v>
      </c>
      <c r="I71" s="2">
        <v>28927175472.78</v>
      </c>
    </row>
    <row r="72" spans="1:9" ht="15">
      <c r="A72">
        <v>29</v>
      </c>
      <c r="B72" s="1">
        <v>45198</v>
      </c>
      <c r="C72">
        <v>26</v>
      </c>
      <c r="D72" t="str">
        <f>"2013"</f>
        <v>2013</v>
      </c>
      <c r="E72" t="str">
        <f>"Корреспондентские счета других банков"</f>
        <v>Корреспондентские счета других банков</v>
      </c>
      <c r="F72" t="str">
        <f>"2"</f>
        <v>2</v>
      </c>
      <c r="G72" t="str">
        <f>"4"</f>
        <v>4</v>
      </c>
      <c r="H72" t="str">
        <f>"1"</f>
        <v>1</v>
      </c>
      <c r="I72" s="2">
        <v>278649346.28</v>
      </c>
    </row>
    <row r="73" spans="1:9" ht="15">
      <c r="A73">
        <v>34</v>
      </c>
      <c r="B73" s="1">
        <v>45198</v>
      </c>
      <c r="C73">
        <v>26</v>
      </c>
      <c r="D73" t="str">
        <f>"2013"</f>
        <v>2013</v>
      </c>
      <c r="E73" t="str">
        <f>"Корреспондентские счета других банков"</f>
        <v>Корреспондентские счета других банков</v>
      </c>
      <c r="F73" t="str">
        <f>"2"</f>
        <v>2</v>
      </c>
      <c r="G73" t="str">
        <f>"4"</f>
        <v>4</v>
      </c>
      <c r="H73" t="str">
        <f>"2"</f>
        <v>2</v>
      </c>
      <c r="I73" s="2">
        <v>668060280.98</v>
      </c>
    </row>
    <row r="74" spans="1:9" ht="15">
      <c r="A74">
        <v>32</v>
      </c>
      <c r="B74" s="1">
        <v>45198</v>
      </c>
      <c r="C74">
        <v>26</v>
      </c>
      <c r="D74" t="str">
        <f>"2014"</f>
        <v>2014</v>
      </c>
      <c r="E74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74" t="str">
        <f>"1"</f>
        <v>1</v>
      </c>
      <c r="G74" t="str">
        <f>"5"</f>
        <v>5</v>
      </c>
      <c r="H74" t="str">
        <f>"2"</f>
        <v>2</v>
      </c>
      <c r="I74" s="2">
        <v>207550109.75</v>
      </c>
    </row>
    <row r="75" spans="1:9" ht="15">
      <c r="A75">
        <v>31</v>
      </c>
      <c r="B75" s="1">
        <v>45198</v>
      </c>
      <c r="C75">
        <v>26</v>
      </c>
      <c r="D75" t="str">
        <f>"2054"</f>
        <v>2054</v>
      </c>
      <c r="E75" t="str">
        <f>"Краткосрочные займы, полученные от других банков"</f>
        <v>Краткосрочные займы, полученные от других банков</v>
      </c>
      <c r="F75" t="str">
        <f>"1"</f>
        <v>1</v>
      </c>
      <c r="G75" t="str">
        <f>"4"</f>
        <v>4</v>
      </c>
      <c r="H75" t="str">
        <f>"1"</f>
        <v>1</v>
      </c>
      <c r="I75" s="2">
        <v>1000000000</v>
      </c>
    </row>
    <row r="76" spans="1:9" ht="15">
      <c r="A76">
        <v>33</v>
      </c>
      <c r="B76" s="1">
        <v>45198</v>
      </c>
      <c r="C76">
        <v>26</v>
      </c>
      <c r="D76" t="str">
        <f>"2054"</f>
        <v>2054</v>
      </c>
      <c r="E76" t="str">
        <f>"Краткосрочные займы, полученные от других банков"</f>
        <v>Краткосрочные займы, полученные от других банков</v>
      </c>
      <c r="F76" t="str">
        <f>"2"</f>
        <v>2</v>
      </c>
      <c r="G76" t="str">
        <f>"4"</f>
        <v>4</v>
      </c>
      <c r="H76" t="str">
        <f>"2"</f>
        <v>2</v>
      </c>
      <c r="I76" s="2">
        <v>13674000000</v>
      </c>
    </row>
    <row r="77" spans="1:9" ht="15">
      <c r="A77">
        <v>36</v>
      </c>
      <c r="B77" s="1">
        <v>45198</v>
      </c>
      <c r="C77">
        <v>26</v>
      </c>
      <c r="D77" t="str">
        <f>"2056"</f>
        <v>2056</v>
      </c>
      <c r="E77" t="str">
        <f>"Долгосрочные займы, полученные от других банков"</f>
        <v>Долгосрочные займы, полученные от других банков</v>
      </c>
      <c r="F77" t="str">
        <f>"2"</f>
        <v>2</v>
      </c>
      <c r="G77" t="str">
        <f>"4"</f>
        <v>4</v>
      </c>
      <c r="H77" t="str">
        <f>"2"</f>
        <v>2</v>
      </c>
      <c r="I77" s="2">
        <v>20670000000</v>
      </c>
    </row>
    <row r="78" spans="1:9" ht="15">
      <c r="A78">
        <v>37</v>
      </c>
      <c r="B78" s="1">
        <v>45198</v>
      </c>
      <c r="C78">
        <v>26</v>
      </c>
      <c r="D78" t="str">
        <f aca="true" t="shared" si="7" ref="D78:D91">"2203"</f>
        <v>2203</v>
      </c>
      <c r="E78" t="str">
        <f aca="true" t="shared" si="8" ref="E78:E91">"Текущие счета юридических лиц"</f>
        <v>Текущие счета юридических лиц</v>
      </c>
      <c r="F78" t="str">
        <f aca="true" t="shared" si="9" ref="F78:F85">"1"</f>
        <v>1</v>
      </c>
      <c r="G78" t="str">
        <f>"4"</f>
        <v>4</v>
      </c>
      <c r="H78" t="str">
        <f>"1"</f>
        <v>1</v>
      </c>
      <c r="I78" s="2">
        <v>2772624.74</v>
      </c>
    </row>
    <row r="79" spans="1:9" ht="15">
      <c r="A79">
        <v>38</v>
      </c>
      <c r="B79" s="1">
        <v>45198</v>
      </c>
      <c r="C79">
        <v>26</v>
      </c>
      <c r="D79" t="str">
        <f t="shared" si="7"/>
        <v>2203</v>
      </c>
      <c r="E79" t="str">
        <f t="shared" si="8"/>
        <v>Текущие счета юридических лиц</v>
      </c>
      <c r="F79" t="str">
        <f t="shared" si="9"/>
        <v>1</v>
      </c>
      <c r="G79" t="str">
        <f>"5"</f>
        <v>5</v>
      </c>
      <c r="H79" t="str">
        <f>"1"</f>
        <v>1</v>
      </c>
      <c r="I79" s="2">
        <v>972094891.41</v>
      </c>
    </row>
    <row r="80" spans="1:9" ht="15">
      <c r="A80">
        <v>39</v>
      </c>
      <c r="B80" s="1">
        <v>45198</v>
      </c>
      <c r="C80">
        <v>26</v>
      </c>
      <c r="D80" t="str">
        <f t="shared" si="7"/>
        <v>2203</v>
      </c>
      <c r="E80" t="str">
        <f t="shared" si="8"/>
        <v>Текущие счета юридических лиц</v>
      </c>
      <c r="F80" t="str">
        <f t="shared" si="9"/>
        <v>1</v>
      </c>
      <c r="G80" t="str">
        <f>"6"</f>
        <v>6</v>
      </c>
      <c r="H80" t="str">
        <f>"1"</f>
        <v>1</v>
      </c>
      <c r="I80" s="2">
        <v>620148.65</v>
      </c>
    </row>
    <row r="81" spans="1:9" ht="15">
      <c r="A81">
        <v>40</v>
      </c>
      <c r="B81" s="1">
        <v>45198</v>
      </c>
      <c r="C81">
        <v>26</v>
      </c>
      <c r="D81" t="str">
        <f t="shared" si="7"/>
        <v>2203</v>
      </c>
      <c r="E81" t="str">
        <f t="shared" si="8"/>
        <v>Текущие счета юридических лиц</v>
      </c>
      <c r="F81" t="str">
        <f t="shared" si="9"/>
        <v>1</v>
      </c>
      <c r="G81" t="str">
        <f>"4"</f>
        <v>4</v>
      </c>
      <c r="H81" t="str">
        <f>"2"</f>
        <v>2</v>
      </c>
      <c r="I81" s="2">
        <v>78668392.83</v>
      </c>
    </row>
    <row r="82" spans="1:9" ht="15">
      <c r="A82">
        <v>41</v>
      </c>
      <c r="B82" s="1">
        <v>45198</v>
      </c>
      <c r="C82">
        <v>26</v>
      </c>
      <c r="D82" t="str">
        <f t="shared" si="7"/>
        <v>2203</v>
      </c>
      <c r="E82" t="str">
        <f t="shared" si="8"/>
        <v>Текущие счета юридических лиц</v>
      </c>
      <c r="F82" t="str">
        <f t="shared" si="9"/>
        <v>1</v>
      </c>
      <c r="G82" t="str">
        <f>"5"</f>
        <v>5</v>
      </c>
      <c r="H82" t="str">
        <f>"2"</f>
        <v>2</v>
      </c>
      <c r="I82" s="2">
        <v>109.13</v>
      </c>
    </row>
    <row r="83" spans="1:9" ht="15">
      <c r="A83">
        <v>43</v>
      </c>
      <c r="B83" s="1">
        <v>45198</v>
      </c>
      <c r="C83">
        <v>26</v>
      </c>
      <c r="D83" t="str">
        <f t="shared" si="7"/>
        <v>2203</v>
      </c>
      <c r="E83" t="str">
        <f t="shared" si="8"/>
        <v>Текущие счета юридических лиц</v>
      </c>
      <c r="F83" t="str">
        <f t="shared" si="9"/>
        <v>1</v>
      </c>
      <c r="G83" t="str">
        <f>"7"</f>
        <v>7</v>
      </c>
      <c r="H83" t="str">
        <f>"3"</f>
        <v>3</v>
      </c>
      <c r="I83" s="2">
        <v>33413573.61</v>
      </c>
    </row>
    <row r="84" spans="1:9" ht="15">
      <c r="A84">
        <v>44</v>
      </c>
      <c r="B84" s="1">
        <v>45198</v>
      </c>
      <c r="C84">
        <v>26</v>
      </c>
      <c r="D84" t="str">
        <f t="shared" si="7"/>
        <v>2203</v>
      </c>
      <c r="E84" t="str">
        <f t="shared" si="8"/>
        <v>Текущие счета юридических лиц</v>
      </c>
      <c r="F84" t="str">
        <f t="shared" si="9"/>
        <v>1</v>
      </c>
      <c r="G84" t="str">
        <f>"7"</f>
        <v>7</v>
      </c>
      <c r="H84" t="str">
        <f>"2"</f>
        <v>2</v>
      </c>
      <c r="I84" s="2">
        <v>67580943012.67</v>
      </c>
    </row>
    <row r="85" spans="1:9" ht="15">
      <c r="A85">
        <v>45</v>
      </c>
      <c r="B85" s="1">
        <v>45198</v>
      </c>
      <c r="C85">
        <v>26</v>
      </c>
      <c r="D85" t="str">
        <f t="shared" si="7"/>
        <v>2203</v>
      </c>
      <c r="E85" t="str">
        <f t="shared" si="8"/>
        <v>Текущие счета юридических лиц</v>
      </c>
      <c r="F85" t="str">
        <f t="shared" si="9"/>
        <v>1</v>
      </c>
      <c r="G85" t="str">
        <f>"7"</f>
        <v>7</v>
      </c>
      <c r="H85" t="str">
        <f>"1"</f>
        <v>1</v>
      </c>
      <c r="I85" s="2">
        <v>28624494927.04</v>
      </c>
    </row>
    <row r="86" spans="1:9" ht="15">
      <c r="A86">
        <v>46</v>
      </c>
      <c r="B86" s="1">
        <v>45198</v>
      </c>
      <c r="C86">
        <v>26</v>
      </c>
      <c r="D86" t="str">
        <f t="shared" si="7"/>
        <v>2203</v>
      </c>
      <c r="E86" t="str">
        <f t="shared" si="8"/>
        <v>Текущие счета юридических лиц</v>
      </c>
      <c r="F86" t="str">
        <f aca="true" t="shared" si="10" ref="F86:F91">"2"</f>
        <v>2</v>
      </c>
      <c r="G86" t="str">
        <f>"1"</f>
        <v>1</v>
      </c>
      <c r="H86" t="str">
        <f>"1"</f>
        <v>1</v>
      </c>
      <c r="I86" s="2">
        <v>585623853.45</v>
      </c>
    </row>
    <row r="87" spans="1:9" ht="15">
      <c r="A87">
        <v>47</v>
      </c>
      <c r="B87" s="1">
        <v>45198</v>
      </c>
      <c r="C87">
        <v>26</v>
      </c>
      <c r="D87" t="str">
        <f t="shared" si="7"/>
        <v>2203</v>
      </c>
      <c r="E87" t="str">
        <f t="shared" si="8"/>
        <v>Текущие счета юридических лиц</v>
      </c>
      <c r="F87" t="str">
        <f t="shared" si="10"/>
        <v>2</v>
      </c>
      <c r="G87" t="str">
        <f>"1"</f>
        <v>1</v>
      </c>
      <c r="H87" t="str">
        <f>"2"</f>
        <v>2</v>
      </c>
      <c r="I87" s="2">
        <v>1589965443.6</v>
      </c>
    </row>
    <row r="88" spans="1:9" ht="15">
      <c r="A88">
        <v>48</v>
      </c>
      <c r="B88" s="1">
        <v>45198</v>
      </c>
      <c r="C88">
        <v>26</v>
      </c>
      <c r="D88" t="str">
        <f t="shared" si="7"/>
        <v>2203</v>
      </c>
      <c r="E88" t="str">
        <f t="shared" si="8"/>
        <v>Текущие счета юридических лиц</v>
      </c>
      <c r="F88" t="str">
        <f t="shared" si="10"/>
        <v>2</v>
      </c>
      <c r="G88" t="str">
        <f>"6"</f>
        <v>6</v>
      </c>
      <c r="H88" t="str">
        <f>"2"</f>
        <v>2</v>
      </c>
      <c r="I88" s="2">
        <v>119309742.23</v>
      </c>
    </row>
    <row r="89" spans="1:9" ht="15">
      <c r="A89">
        <v>49</v>
      </c>
      <c r="B89" s="1">
        <v>45198</v>
      </c>
      <c r="C89">
        <v>26</v>
      </c>
      <c r="D89" t="str">
        <f t="shared" si="7"/>
        <v>2203</v>
      </c>
      <c r="E89" t="str">
        <f t="shared" si="8"/>
        <v>Текущие счета юридических лиц</v>
      </c>
      <c r="F89" t="str">
        <f t="shared" si="10"/>
        <v>2</v>
      </c>
      <c r="G89" t="str">
        <f>"7"</f>
        <v>7</v>
      </c>
      <c r="H89" t="str">
        <f>"2"</f>
        <v>2</v>
      </c>
      <c r="I89" s="2">
        <v>1258746368.93</v>
      </c>
    </row>
    <row r="90" spans="1:9" ht="15">
      <c r="A90">
        <v>51</v>
      </c>
      <c r="B90" s="1">
        <v>45198</v>
      </c>
      <c r="C90">
        <v>26</v>
      </c>
      <c r="D90" t="str">
        <f t="shared" si="7"/>
        <v>2203</v>
      </c>
      <c r="E90" t="str">
        <f t="shared" si="8"/>
        <v>Текущие счета юридических лиц</v>
      </c>
      <c r="F90" t="str">
        <f t="shared" si="10"/>
        <v>2</v>
      </c>
      <c r="G90" t="str">
        <f>"7"</f>
        <v>7</v>
      </c>
      <c r="H90" t="str">
        <f>"1"</f>
        <v>1</v>
      </c>
      <c r="I90" s="2">
        <v>38035910.5</v>
      </c>
    </row>
    <row r="91" spans="1:9" ht="15">
      <c r="A91">
        <v>59</v>
      </c>
      <c r="B91" s="1">
        <v>45198</v>
      </c>
      <c r="C91">
        <v>26</v>
      </c>
      <c r="D91" t="str">
        <f t="shared" si="7"/>
        <v>2203</v>
      </c>
      <c r="E91" t="str">
        <f t="shared" si="8"/>
        <v>Текущие счета юридических лиц</v>
      </c>
      <c r="F91" t="str">
        <f t="shared" si="10"/>
        <v>2</v>
      </c>
      <c r="G91" t="str">
        <f>"6"</f>
        <v>6</v>
      </c>
      <c r="H91" t="str">
        <f>"1"</f>
        <v>1</v>
      </c>
      <c r="I91" s="2">
        <v>32368666.76</v>
      </c>
    </row>
    <row r="92" spans="1:9" ht="15">
      <c r="A92">
        <v>50</v>
      </c>
      <c r="B92" s="1">
        <v>45198</v>
      </c>
      <c r="C92">
        <v>26</v>
      </c>
      <c r="D92" t="str">
        <f>"2204"</f>
        <v>2204</v>
      </c>
      <c r="E92" t="str">
        <f>"Текущие счета физических лиц"</f>
        <v>Текущие счета физических лиц</v>
      </c>
      <c r="F92" t="str">
        <f>"1"</f>
        <v>1</v>
      </c>
      <c r="G92" t="str">
        <f aca="true" t="shared" si="11" ref="G92:G99">"9"</f>
        <v>9</v>
      </c>
      <c r="H92" t="str">
        <f>"1"</f>
        <v>1</v>
      </c>
      <c r="I92" s="2">
        <v>32432014.57</v>
      </c>
    </row>
    <row r="93" spans="1:9" ht="15">
      <c r="A93">
        <v>52</v>
      </c>
      <c r="B93" s="1">
        <v>45198</v>
      </c>
      <c r="C93">
        <v>26</v>
      </c>
      <c r="D93" t="str">
        <f>"2204"</f>
        <v>2204</v>
      </c>
      <c r="E93" t="str">
        <f>"Текущие счета физических лиц"</f>
        <v>Текущие счета физических лиц</v>
      </c>
      <c r="F93" t="str">
        <f>"1"</f>
        <v>1</v>
      </c>
      <c r="G93" t="str">
        <f t="shared" si="11"/>
        <v>9</v>
      </c>
      <c r="H93" t="str">
        <f>"2"</f>
        <v>2</v>
      </c>
      <c r="I93" s="2">
        <v>141057955.77</v>
      </c>
    </row>
    <row r="94" spans="1:9" ht="15">
      <c r="A94">
        <v>53</v>
      </c>
      <c r="B94" s="1">
        <v>45198</v>
      </c>
      <c r="C94">
        <v>26</v>
      </c>
      <c r="D94" t="str">
        <f>"2204"</f>
        <v>2204</v>
      </c>
      <c r="E94" t="str">
        <f>"Текущие счета физических лиц"</f>
        <v>Текущие счета физических лиц</v>
      </c>
      <c r="F94" t="str">
        <f>"2"</f>
        <v>2</v>
      </c>
      <c r="G94" t="str">
        <f t="shared" si="11"/>
        <v>9</v>
      </c>
      <c r="H94" t="str">
        <f>"2"</f>
        <v>2</v>
      </c>
      <c r="I94" s="2">
        <v>7655236333.14</v>
      </c>
    </row>
    <row r="95" spans="1:9" ht="15">
      <c r="A95">
        <v>54</v>
      </c>
      <c r="B95" s="1">
        <v>45198</v>
      </c>
      <c r="C95">
        <v>26</v>
      </c>
      <c r="D95" t="str">
        <f>"2204"</f>
        <v>2204</v>
      </c>
      <c r="E95" t="str">
        <f>"Текущие счета физических лиц"</f>
        <v>Текущие счета физических лиц</v>
      </c>
      <c r="F95" t="str">
        <f>"2"</f>
        <v>2</v>
      </c>
      <c r="G95" t="str">
        <f t="shared" si="11"/>
        <v>9</v>
      </c>
      <c r="H95" t="str">
        <f>"1"</f>
        <v>1</v>
      </c>
      <c r="I95" s="2">
        <v>246900651.6</v>
      </c>
    </row>
    <row r="96" spans="1:9" ht="15">
      <c r="A96">
        <v>55</v>
      </c>
      <c r="B96" s="1">
        <v>45198</v>
      </c>
      <c r="C96">
        <v>26</v>
      </c>
      <c r="D96" t="str">
        <f>"2205"</f>
        <v>2205</v>
      </c>
      <c r="E96" t="str">
        <f>"Вклады до востребования физических лиц"</f>
        <v>Вклады до востребования физических лиц</v>
      </c>
      <c r="F96" t="str">
        <f>"1"</f>
        <v>1</v>
      </c>
      <c r="G96" t="str">
        <f t="shared" si="11"/>
        <v>9</v>
      </c>
      <c r="H96" t="str">
        <f>"1"</f>
        <v>1</v>
      </c>
      <c r="I96" s="2">
        <v>244</v>
      </c>
    </row>
    <row r="97" spans="1:9" ht="15">
      <c r="A97">
        <v>56</v>
      </c>
      <c r="B97" s="1">
        <v>45198</v>
      </c>
      <c r="C97">
        <v>26</v>
      </c>
      <c r="D97" t="str">
        <f>"2205"</f>
        <v>2205</v>
      </c>
      <c r="E97" t="str">
        <f>"Вклады до востребования физических лиц"</f>
        <v>Вклады до востребования физических лиц</v>
      </c>
      <c r="F97" t="str">
        <f>"1"</f>
        <v>1</v>
      </c>
      <c r="G97" t="str">
        <f t="shared" si="11"/>
        <v>9</v>
      </c>
      <c r="H97" t="str">
        <f>"2"</f>
        <v>2</v>
      </c>
      <c r="I97" s="2">
        <v>157482623.55</v>
      </c>
    </row>
    <row r="98" spans="1:9" ht="15">
      <c r="A98">
        <v>58</v>
      </c>
      <c r="B98" s="1">
        <v>45198</v>
      </c>
      <c r="C98">
        <v>26</v>
      </c>
      <c r="D98" t="str">
        <f>"2205"</f>
        <v>2205</v>
      </c>
      <c r="E98" t="str">
        <f>"Вклады до востребования физических лиц"</f>
        <v>Вклады до востребования физических лиц</v>
      </c>
      <c r="F98" t="str">
        <f>"2"</f>
        <v>2</v>
      </c>
      <c r="G98" t="str">
        <f t="shared" si="11"/>
        <v>9</v>
      </c>
      <c r="H98" t="str">
        <f>"2"</f>
        <v>2</v>
      </c>
      <c r="I98" s="2">
        <v>66460586.69</v>
      </c>
    </row>
    <row r="99" spans="1:9" ht="15">
      <c r="A99">
        <v>93</v>
      </c>
      <c r="B99" s="1">
        <v>45198</v>
      </c>
      <c r="C99">
        <v>26</v>
      </c>
      <c r="D99" t="str">
        <f>"2205"</f>
        <v>2205</v>
      </c>
      <c r="E99" t="str">
        <f>"Вклады до востребования физических лиц"</f>
        <v>Вклады до востребования физических лиц</v>
      </c>
      <c r="F99" t="str">
        <f>"2"</f>
        <v>2</v>
      </c>
      <c r="G99" t="str">
        <f t="shared" si="11"/>
        <v>9</v>
      </c>
      <c r="H99" t="str">
        <f>"1"</f>
        <v>1</v>
      </c>
      <c r="I99" s="2">
        <v>24432750.66</v>
      </c>
    </row>
    <row r="100" spans="1:9" ht="15">
      <c r="A100">
        <v>57</v>
      </c>
      <c r="B100" s="1">
        <v>45198</v>
      </c>
      <c r="C100">
        <v>26</v>
      </c>
      <c r="D100" t="str">
        <f>"2215"</f>
        <v>2215</v>
      </c>
      <c r="E100" t="str">
        <f>"Краткосрочные вклады юридических лиц"</f>
        <v>Краткосрочные вклады юридических лиц</v>
      </c>
      <c r="F100" t="str">
        <f aca="true" t="shared" si="12" ref="F100:F105">"1"</f>
        <v>1</v>
      </c>
      <c r="G100" t="str">
        <f>"7"</f>
        <v>7</v>
      </c>
      <c r="H100" t="str">
        <f>"1"</f>
        <v>1</v>
      </c>
      <c r="I100" s="2">
        <v>11864904840</v>
      </c>
    </row>
    <row r="101" spans="1:9" ht="15">
      <c r="A101">
        <v>60</v>
      </c>
      <c r="B101" s="1">
        <v>45198</v>
      </c>
      <c r="C101">
        <v>26</v>
      </c>
      <c r="D101" t="str">
        <f>"2215"</f>
        <v>2215</v>
      </c>
      <c r="E101" t="str">
        <f>"Краткосрочные вклады юридических лиц"</f>
        <v>Краткосрочные вклады юридических лиц</v>
      </c>
      <c r="F101" t="str">
        <f t="shared" si="12"/>
        <v>1</v>
      </c>
      <c r="G101" t="str">
        <f>"7"</f>
        <v>7</v>
      </c>
      <c r="H101" t="str">
        <f>"2"</f>
        <v>2</v>
      </c>
      <c r="I101" s="2">
        <v>50364089514.68</v>
      </c>
    </row>
    <row r="102" spans="1:9" ht="15">
      <c r="A102">
        <v>62</v>
      </c>
      <c r="B102" s="1">
        <v>45198</v>
      </c>
      <c r="C102">
        <v>26</v>
      </c>
      <c r="D102" t="str">
        <f>"2217"</f>
        <v>2217</v>
      </c>
      <c r="E102" t="str">
        <f>"Долгосрочные вклады юридических лиц"</f>
        <v>Долгосрочные вклады юридических лиц</v>
      </c>
      <c r="F102" t="str">
        <f t="shared" si="12"/>
        <v>1</v>
      </c>
      <c r="G102" t="str">
        <f>"7"</f>
        <v>7</v>
      </c>
      <c r="H102" t="str">
        <f>"2"</f>
        <v>2</v>
      </c>
      <c r="I102" s="2">
        <v>10438340000</v>
      </c>
    </row>
    <row r="103" spans="1:9" ht="15">
      <c r="A103">
        <v>61</v>
      </c>
      <c r="B103" s="1">
        <v>45198</v>
      </c>
      <c r="C103">
        <v>26</v>
      </c>
      <c r="D103" t="str">
        <f>"2219"</f>
        <v>2219</v>
      </c>
      <c r="E103" t="str">
        <f>"Условные вклады юридических лиц"</f>
        <v>Условные вклады юридических лиц</v>
      </c>
      <c r="F103" t="str">
        <f t="shared" si="12"/>
        <v>1</v>
      </c>
      <c r="G103" t="str">
        <f>"6"</f>
        <v>6</v>
      </c>
      <c r="H103" t="str">
        <f>"2"</f>
        <v>2</v>
      </c>
      <c r="I103" s="2">
        <v>3256853700.16</v>
      </c>
    </row>
    <row r="104" spans="1:9" ht="15">
      <c r="A104">
        <v>64</v>
      </c>
      <c r="B104" s="1">
        <v>45198</v>
      </c>
      <c r="C104">
        <v>26</v>
      </c>
      <c r="D104" t="str">
        <f>"2219"</f>
        <v>2219</v>
      </c>
      <c r="E104" t="str">
        <f>"Условные вклады юридических лиц"</f>
        <v>Условные вклады юридических лиц</v>
      </c>
      <c r="F104" t="str">
        <f t="shared" si="12"/>
        <v>1</v>
      </c>
      <c r="G104" t="str">
        <f>"7"</f>
        <v>7</v>
      </c>
      <c r="H104" t="str">
        <f>"2"</f>
        <v>2</v>
      </c>
      <c r="I104" s="2">
        <v>14185511762.06</v>
      </c>
    </row>
    <row r="105" spans="1:9" ht="15">
      <c r="A105">
        <v>65</v>
      </c>
      <c r="B105" s="1">
        <v>45198</v>
      </c>
      <c r="C105">
        <v>26</v>
      </c>
      <c r="D105" t="str">
        <f>"2219"</f>
        <v>2219</v>
      </c>
      <c r="E105" t="str">
        <f>"Условные вклады юридических лиц"</f>
        <v>Условные вклады юридических лиц</v>
      </c>
      <c r="F105" t="str">
        <f t="shared" si="12"/>
        <v>1</v>
      </c>
      <c r="G105" t="str">
        <f>"7"</f>
        <v>7</v>
      </c>
      <c r="H105" t="str">
        <f>"1"</f>
        <v>1</v>
      </c>
      <c r="I105" s="2">
        <v>2900976643.48</v>
      </c>
    </row>
    <row r="106" spans="1:9" ht="15">
      <c r="A106">
        <v>74</v>
      </c>
      <c r="B106" s="1">
        <v>45198</v>
      </c>
      <c r="C106">
        <v>26</v>
      </c>
      <c r="D106" t="str">
        <f>"2219"</f>
        <v>2219</v>
      </c>
      <c r="E106" t="str">
        <f>"Условные вклады юридических лиц"</f>
        <v>Условные вклады юридических лиц</v>
      </c>
      <c r="F106" t="str">
        <f>"2"</f>
        <v>2</v>
      </c>
      <c r="G106" t="str">
        <f>"7"</f>
        <v>7</v>
      </c>
      <c r="H106" t="str">
        <f>"1"</f>
        <v>1</v>
      </c>
      <c r="I106" s="2">
        <v>60000</v>
      </c>
    </row>
    <row r="107" spans="1:9" ht="15">
      <c r="A107">
        <v>67</v>
      </c>
      <c r="B107" s="1">
        <v>45198</v>
      </c>
      <c r="C107">
        <v>26</v>
      </c>
      <c r="D107" t="str">
        <f>"2227"</f>
        <v>2227</v>
      </c>
      <c r="E107" t="str">
        <f>"Обязательства по аренде"</f>
        <v>Обязательства по аренде</v>
      </c>
      <c r="F107" t="str">
        <f>"1"</f>
        <v>1</v>
      </c>
      <c r="G107" t="str">
        <f>"7"</f>
        <v>7</v>
      </c>
      <c r="H107" t="str">
        <f>"1"</f>
        <v>1</v>
      </c>
      <c r="I107" s="2">
        <v>64624137.73</v>
      </c>
    </row>
    <row r="108" spans="1:9" ht="15">
      <c r="A108">
        <v>66</v>
      </c>
      <c r="B108" s="1">
        <v>45198</v>
      </c>
      <c r="C108">
        <v>26</v>
      </c>
      <c r="D108" t="str">
        <f>"2237"</f>
        <v>2237</v>
      </c>
      <c r="E108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08" t="str">
        <f>"1"</f>
        <v>1</v>
      </c>
      <c r="G108" t="str">
        <f>"7"</f>
        <v>7</v>
      </c>
      <c r="H108" t="str">
        <f>"3"</f>
        <v>3</v>
      </c>
      <c r="I108" s="2">
        <v>46193784.27</v>
      </c>
    </row>
    <row r="109" spans="1:9" ht="15">
      <c r="A109">
        <v>69</v>
      </c>
      <c r="B109" s="1">
        <v>45198</v>
      </c>
      <c r="C109">
        <v>26</v>
      </c>
      <c r="D109" t="str">
        <f>"2237"</f>
        <v>2237</v>
      </c>
      <c r="E109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09" t="str">
        <f>"1"</f>
        <v>1</v>
      </c>
      <c r="G109" t="str">
        <f>"9"</f>
        <v>9</v>
      </c>
      <c r="H109" t="str">
        <f>"2"</f>
        <v>2</v>
      </c>
      <c r="I109" s="2">
        <v>616811</v>
      </c>
    </row>
    <row r="110" spans="1:9" ht="15">
      <c r="A110">
        <v>70</v>
      </c>
      <c r="B110" s="1">
        <v>45198</v>
      </c>
      <c r="C110">
        <v>26</v>
      </c>
      <c r="D110" t="str">
        <f>"2237"</f>
        <v>2237</v>
      </c>
      <c r="E110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10" t="str">
        <f>"1"</f>
        <v>1</v>
      </c>
      <c r="G110" t="str">
        <f>"7"</f>
        <v>7</v>
      </c>
      <c r="H110" t="str">
        <f>"2"</f>
        <v>2</v>
      </c>
      <c r="I110" s="2">
        <v>2774057375.93</v>
      </c>
    </row>
    <row r="111" spans="1:9" ht="15">
      <c r="A111">
        <v>87</v>
      </c>
      <c r="B111" s="1">
        <v>45198</v>
      </c>
      <c r="C111">
        <v>26</v>
      </c>
      <c r="D111" t="str">
        <f>"2237"</f>
        <v>2237</v>
      </c>
      <c r="E111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11" t="str">
        <f>"2"</f>
        <v>2</v>
      </c>
      <c r="G111" t="str">
        <f>"1"</f>
        <v>1</v>
      </c>
      <c r="H111" t="str">
        <f>"2"</f>
        <v>2</v>
      </c>
      <c r="I111" s="2">
        <v>379571255.3</v>
      </c>
    </row>
    <row r="112" spans="1:9" ht="15">
      <c r="A112">
        <v>76</v>
      </c>
      <c r="B112" s="1">
        <v>45198</v>
      </c>
      <c r="C112">
        <v>26</v>
      </c>
      <c r="D112" t="str">
        <f>"2240"</f>
        <v>2240</v>
      </c>
      <c r="E112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112" t="str">
        <f>"1"</f>
        <v>1</v>
      </c>
      <c r="G112" t="str">
        <f>"7"</f>
        <v>7</v>
      </c>
      <c r="H112" t="str">
        <f>"1"</f>
        <v>1</v>
      </c>
      <c r="I112" s="2">
        <v>15000000</v>
      </c>
    </row>
    <row r="113" spans="1:9" ht="15">
      <c r="A113">
        <v>68</v>
      </c>
      <c r="B113" s="1">
        <v>45198</v>
      </c>
      <c r="C113">
        <v>26</v>
      </c>
      <c r="D113" t="str">
        <f>"2705"</f>
        <v>2705</v>
      </c>
      <c r="E113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113" t="str">
        <f>"1"</f>
        <v>1</v>
      </c>
      <c r="G113" t="str">
        <f>"4"</f>
        <v>4</v>
      </c>
      <c r="H113" t="str">
        <f>"1"</f>
        <v>1</v>
      </c>
      <c r="I113" s="2">
        <v>833333.34</v>
      </c>
    </row>
    <row r="114" spans="1:9" ht="15">
      <c r="A114">
        <v>80</v>
      </c>
      <c r="B114" s="1">
        <v>45198</v>
      </c>
      <c r="C114">
        <v>26</v>
      </c>
      <c r="D114" t="str">
        <f>"2705"</f>
        <v>2705</v>
      </c>
      <c r="E114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114" t="str">
        <f>"2"</f>
        <v>2</v>
      </c>
      <c r="G114" t="str">
        <f>"4"</f>
        <v>4</v>
      </c>
      <c r="H114" t="str">
        <f>"2"</f>
        <v>2</v>
      </c>
      <c r="I114" s="2">
        <v>156829293.84</v>
      </c>
    </row>
    <row r="115" spans="1:9" ht="15">
      <c r="A115">
        <v>71</v>
      </c>
      <c r="B115" s="1">
        <v>45198</v>
      </c>
      <c r="C115">
        <v>26</v>
      </c>
      <c r="D115" t="str">
        <f>"2719"</f>
        <v>2719</v>
      </c>
      <c r="E115" t="str">
        <f>"Начисленные расходы по условным вкладам клиентов"</f>
        <v>Начисленные расходы по условным вкладам клиентов</v>
      </c>
      <c r="F115" t="str">
        <f aca="true" t="shared" si="13" ref="F115:F127">"1"</f>
        <v>1</v>
      </c>
      <c r="G115" t="str">
        <f>"6"</f>
        <v>6</v>
      </c>
      <c r="H115" t="str">
        <f>"2"</f>
        <v>2</v>
      </c>
      <c r="I115" s="2">
        <v>7762912.8</v>
      </c>
    </row>
    <row r="116" spans="1:9" ht="15">
      <c r="A116">
        <v>72</v>
      </c>
      <c r="B116" s="1">
        <v>45198</v>
      </c>
      <c r="C116">
        <v>26</v>
      </c>
      <c r="D116" t="str">
        <f>"2719"</f>
        <v>2719</v>
      </c>
      <c r="E116" t="str">
        <f>"Начисленные расходы по условным вкладам клиентов"</f>
        <v>Начисленные расходы по условным вкладам клиентов</v>
      </c>
      <c r="F116" t="str">
        <f t="shared" si="13"/>
        <v>1</v>
      </c>
      <c r="G116" t="str">
        <f>"7"</f>
        <v>7</v>
      </c>
      <c r="H116" t="str">
        <f>"2"</f>
        <v>2</v>
      </c>
      <c r="I116" s="2">
        <v>31208838.36</v>
      </c>
    </row>
    <row r="117" spans="1:9" ht="15">
      <c r="A117">
        <v>73</v>
      </c>
      <c r="B117" s="1">
        <v>45198</v>
      </c>
      <c r="C117">
        <v>26</v>
      </c>
      <c r="D117" t="str">
        <f>"2719"</f>
        <v>2719</v>
      </c>
      <c r="E117" t="str">
        <f>"Начисленные расходы по условным вкладам клиентов"</f>
        <v>Начисленные расходы по условным вкладам клиентов</v>
      </c>
      <c r="F117" t="str">
        <f t="shared" si="13"/>
        <v>1</v>
      </c>
      <c r="G117" t="str">
        <f>"7"</f>
        <v>7</v>
      </c>
      <c r="H117" t="str">
        <f>"1"</f>
        <v>1</v>
      </c>
      <c r="I117" s="2">
        <v>32812341.39</v>
      </c>
    </row>
    <row r="118" spans="1:9" ht="15">
      <c r="A118">
        <v>75</v>
      </c>
      <c r="B118" s="1">
        <v>45198</v>
      </c>
      <c r="C118">
        <v>26</v>
      </c>
      <c r="D118" t="str">
        <f>"2721"</f>
        <v>2721</v>
      </c>
      <c r="E118" t="str">
        <f>"Начисленные расходы по срочным вкладам клиентов"</f>
        <v>Начисленные расходы по срочным вкладам клиентов</v>
      </c>
      <c r="F118" t="str">
        <f t="shared" si="13"/>
        <v>1</v>
      </c>
      <c r="G118" t="str">
        <f>"7"</f>
        <v>7</v>
      </c>
      <c r="H118" t="str">
        <f>"2"</f>
        <v>2</v>
      </c>
      <c r="I118" s="2">
        <v>140539067.32</v>
      </c>
    </row>
    <row r="119" spans="1:9" ht="15">
      <c r="A119">
        <v>79</v>
      </c>
      <c r="B119" s="1">
        <v>45198</v>
      </c>
      <c r="C119">
        <v>26</v>
      </c>
      <c r="D119" t="str">
        <f>"2721"</f>
        <v>2721</v>
      </c>
      <c r="E119" t="str">
        <f>"Начисленные расходы по срочным вкладам клиентов"</f>
        <v>Начисленные расходы по срочным вкладам клиентов</v>
      </c>
      <c r="F119" t="str">
        <f t="shared" si="13"/>
        <v>1</v>
      </c>
      <c r="G119" t="str">
        <f>"7"</f>
        <v>7</v>
      </c>
      <c r="H119" t="str">
        <f aca="true" t="shared" si="14" ref="H119:H127">"1"</f>
        <v>1</v>
      </c>
      <c r="I119" s="2">
        <v>40874076.83</v>
      </c>
    </row>
    <row r="120" spans="1:9" ht="15">
      <c r="A120">
        <v>86</v>
      </c>
      <c r="B120" s="1">
        <v>45198</v>
      </c>
      <c r="C120">
        <v>26</v>
      </c>
      <c r="D120" t="str">
        <f>"2731"</f>
        <v>2731</v>
      </c>
      <c r="E120" t="str">
        <f>"Начисленные расходы по прочим операциям"</f>
        <v>Начисленные расходы по прочим операциям</v>
      </c>
      <c r="F120" t="str">
        <f t="shared" si="13"/>
        <v>1</v>
      </c>
      <c r="G120" t="str">
        <f>"5"</f>
        <v>5</v>
      </c>
      <c r="H120" t="str">
        <f t="shared" si="14"/>
        <v>1</v>
      </c>
      <c r="I120" s="2">
        <v>2415097.23</v>
      </c>
    </row>
    <row r="121" spans="1:9" ht="15">
      <c r="A121">
        <v>77</v>
      </c>
      <c r="B121" s="1">
        <v>45198</v>
      </c>
      <c r="C121">
        <v>26</v>
      </c>
      <c r="D121" t="str">
        <f>"2770"</f>
        <v>2770</v>
      </c>
      <c r="E121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21" t="str">
        <f t="shared" si="13"/>
        <v>1</v>
      </c>
      <c r="G121" t="str">
        <f>"4"</f>
        <v>4</v>
      </c>
      <c r="H121" t="str">
        <f t="shared" si="14"/>
        <v>1</v>
      </c>
      <c r="I121" s="2">
        <v>2189026.6</v>
      </c>
    </row>
    <row r="122" spans="1:9" ht="15">
      <c r="A122">
        <v>81</v>
      </c>
      <c r="B122" s="1">
        <v>45198</v>
      </c>
      <c r="C122">
        <v>26</v>
      </c>
      <c r="D122" t="str">
        <f>"2770"</f>
        <v>2770</v>
      </c>
      <c r="E122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22" t="str">
        <f t="shared" si="13"/>
        <v>1</v>
      </c>
      <c r="G122" t="str">
        <f>"5"</f>
        <v>5</v>
      </c>
      <c r="H122" t="str">
        <f t="shared" si="14"/>
        <v>1</v>
      </c>
      <c r="I122" s="2">
        <v>1531291.24</v>
      </c>
    </row>
    <row r="123" spans="1:9" ht="15">
      <c r="A123">
        <v>83</v>
      </c>
      <c r="B123" s="1">
        <v>45198</v>
      </c>
      <c r="C123">
        <v>26</v>
      </c>
      <c r="D123" t="str">
        <f>"2770"</f>
        <v>2770</v>
      </c>
      <c r="E123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23" t="str">
        <f t="shared" si="13"/>
        <v>1</v>
      </c>
      <c r="G123" t="str">
        <f>"6"</f>
        <v>6</v>
      </c>
      <c r="H123" t="str">
        <f t="shared" si="14"/>
        <v>1</v>
      </c>
      <c r="I123" s="2">
        <v>89362.04</v>
      </c>
    </row>
    <row r="124" spans="1:9" ht="15">
      <c r="A124">
        <v>84</v>
      </c>
      <c r="B124" s="1">
        <v>45198</v>
      </c>
      <c r="C124">
        <v>26</v>
      </c>
      <c r="D124" t="str">
        <f>"2770"</f>
        <v>2770</v>
      </c>
      <c r="E124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24" t="str">
        <f t="shared" si="13"/>
        <v>1</v>
      </c>
      <c r="G124" t="str">
        <f>"7"</f>
        <v>7</v>
      </c>
      <c r="H124" t="str">
        <f t="shared" si="14"/>
        <v>1</v>
      </c>
      <c r="I124" s="2">
        <v>6859918</v>
      </c>
    </row>
    <row r="125" spans="1:9" ht="15">
      <c r="A125">
        <v>85</v>
      </c>
      <c r="B125" s="1">
        <v>45198</v>
      </c>
      <c r="C125">
        <v>26</v>
      </c>
      <c r="D125" t="str">
        <f>"2770"</f>
        <v>2770</v>
      </c>
      <c r="E125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25" t="str">
        <f t="shared" si="13"/>
        <v>1</v>
      </c>
      <c r="G125" t="str">
        <f>"8"</f>
        <v>8</v>
      </c>
      <c r="H125" t="str">
        <f t="shared" si="14"/>
        <v>1</v>
      </c>
      <c r="I125" s="2">
        <v>522708.8</v>
      </c>
    </row>
    <row r="126" spans="1:9" ht="15">
      <c r="A126">
        <v>88</v>
      </c>
      <c r="B126" s="1">
        <v>45198</v>
      </c>
      <c r="C126">
        <v>26</v>
      </c>
      <c r="D126" t="str">
        <f>"2794"</f>
        <v>2794</v>
      </c>
      <c r="E126" t="str">
        <f>"Доходы будущих периодов"</f>
        <v>Доходы будущих периодов</v>
      </c>
      <c r="F126" t="str">
        <f t="shared" si="13"/>
        <v>1</v>
      </c>
      <c r="G126" t="str">
        <f>"7"</f>
        <v>7</v>
      </c>
      <c r="H126" t="str">
        <f t="shared" si="14"/>
        <v>1</v>
      </c>
      <c r="I126" s="2">
        <v>7012660.21</v>
      </c>
    </row>
    <row r="127" spans="1:9" ht="15">
      <c r="A127">
        <v>89</v>
      </c>
      <c r="B127" s="1">
        <v>45198</v>
      </c>
      <c r="C127">
        <v>26</v>
      </c>
      <c r="D127" t="str">
        <f>"2851"</f>
        <v>2851</v>
      </c>
      <c r="E127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27" t="str">
        <f t="shared" si="13"/>
        <v>1</v>
      </c>
      <c r="G127" t="str">
        <f>"1"</f>
        <v>1</v>
      </c>
      <c r="H127" t="str">
        <f t="shared" si="14"/>
        <v>1</v>
      </c>
      <c r="I127" s="2">
        <v>307309.68</v>
      </c>
    </row>
    <row r="128" spans="1:9" ht="15">
      <c r="A128">
        <v>78</v>
      </c>
      <c r="B128" s="1">
        <v>45198</v>
      </c>
      <c r="C128">
        <v>26</v>
      </c>
      <c r="D128" t="str">
        <f>"2854"</f>
        <v>2854</v>
      </c>
      <c r="E128" t="str">
        <f>"Расчеты с работниками"</f>
        <v>Расчеты с работниками</v>
      </c>
      <c r="F128">
        <f>""</f>
      </c>
      <c r="G128">
        <f>""</f>
      </c>
      <c r="H128">
        <f>""</f>
      </c>
      <c r="I128" s="2">
        <v>1060427</v>
      </c>
    </row>
    <row r="129" spans="1:9" ht="15">
      <c r="A129">
        <v>113</v>
      </c>
      <c r="B129" s="1">
        <v>45198</v>
      </c>
      <c r="C129">
        <v>26</v>
      </c>
      <c r="D129" t="str">
        <f>"2860"</f>
        <v>2860</v>
      </c>
      <c r="E129" t="str">
        <f>"Прочие кредиторы по банковской деятельности"</f>
        <v>Прочие кредиторы по банковской деятельности</v>
      </c>
      <c r="F129" t="str">
        <f>"1"</f>
        <v>1</v>
      </c>
      <c r="G129" t="str">
        <f>"4"</f>
        <v>4</v>
      </c>
      <c r="H129" t="str">
        <f>"1"</f>
        <v>1</v>
      </c>
      <c r="I129" s="2">
        <v>0.96</v>
      </c>
    </row>
    <row r="130" spans="1:9" ht="15">
      <c r="A130">
        <v>82</v>
      </c>
      <c r="B130" s="1">
        <v>45198</v>
      </c>
      <c r="C130">
        <v>26</v>
      </c>
      <c r="D130" t="str">
        <f>"2861"</f>
        <v>2861</v>
      </c>
      <c r="E130" t="str">
        <f>"Резерв на отпускные выплаты"</f>
        <v>Резерв на отпускные выплаты</v>
      </c>
      <c r="F130">
        <f>""</f>
      </c>
      <c r="G130">
        <f>""</f>
      </c>
      <c r="H130">
        <f>""</f>
      </c>
      <c r="I130" s="2">
        <v>67450620</v>
      </c>
    </row>
    <row r="131" spans="1:9" ht="15">
      <c r="A131">
        <v>105</v>
      </c>
      <c r="B131" s="1">
        <v>45198</v>
      </c>
      <c r="C131">
        <v>26</v>
      </c>
      <c r="D131" t="str">
        <f>"2867"</f>
        <v>2867</v>
      </c>
      <c r="E131" t="str">
        <f>"Прочие кредиторы по неосновной деятельности"</f>
        <v>Прочие кредиторы по неосновной деятельности</v>
      </c>
      <c r="F131" t="str">
        <f>"1"</f>
        <v>1</v>
      </c>
      <c r="G131" t="str">
        <f>"9"</f>
        <v>9</v>
      </c>
      <c r="H131" t="str">
        <f>"1"</f>
        <v>1</v>
      </c>
      <c r="I131" s="2">
        <v>40000</v>
      </c>
    </row>
    <row r="132" spans="1:9" ht="15">
      <c r="A132">
        <v>101</v>
      </c>
      <c r="B132" s="1">
        <v>45198</v>
      </c>
      <c r="C132">
        <v>26</v>
      </c>
      <c r="D132" t="str">
        <f>"2869"</f>
        <v>2869</v>
      </c>
      <c r="E132" t="str">
        <f>"Выданные гарантии"</f>
        <v>Выданные гарантии</v>
      </c>
      <c r="F132" t="str">
        <f>"1"</f>
        <v>1</v>
      </c>
      <c r="G132" t="str">
        <f>"7"</f>
        <v>7</v>
      </c>
      <c r="H132" t="str">
        <f>"1"</f>
        <v>1</v>
      </c>
      <c r="I132" s="2">
        <v>113623.92</v>
      </c>
    </row>
    <row r="133" spans="1:9" ht="15">
      <c r="A133">
        <v>91</v>
      </c>
      <c r="B133" s="1">
        <v>45198</v>
      </c>
      <c r="C133">
        <v>26</v>
      </c>
      <c r="D133" t="str">
        <f>"2870"</f>
        <v>2870</v>
      </c>
      <c r="E133" t="str">
        <f>"Прочие транзитные счета"</f>
        <v>Прочие транзитные счета</v>
      </c>
      <c r="F133" t="str">
        <f>"1"</f>
        <v>1</v>
      </c>
      <c r="G133" t="str">
        <f>"7"</f>
        <v>7</v>
      </c>
      <c r="H133" t="str">
        <f>"2"</f>
        <v>2</v>
      </c>
      <c r="I133" s="2">
        <v>449888942.92</v>
      </c>
    </row>
    <row r="134" spans="1:9" ht="15">
      <c r="A134">
        <v>92</v>
      </c>
      <c r="B134" s="1">
        <v>45198</v>
      </c>
      <c r="C134">
        <v>26</v>
      </c>
      <c r="D134" t="str">
        <f>"2870"</f>
        <v>2870</v>
      </c>
      <c r="E134" t="str">
        <f>"Прочие транзитные счета"</f>
        <v>Прочие транзитные счета</v>
      </c>
      <c r="F134" t="str">
        <f>"1"</f>
        <v>1</v>
      </c>
      <c r="G134" t="str">
        <f>"7"</f>
        <v>7</v>
      </c>
      <c r="H134" t="str">
        <f>"1"</f>
        <v>1</v>
      </c>
      <c r="I134" s="2">
        <v>25730700.95</v>
      </c>
    </row>
    <row r="135" spans="1:9" ht="15">
      <c r="A135">
        <v>99</v>
      </c>
      <c r="B135" s="1">
        <v>45198</v>
      </c>
      <c r="C135">
        <v>26</v>
      </c>
      <c r="D135" t="str">
        <f>"2870"</f>
        <v>2870</v>
      </c>
      <c r="E135" t="str">
        <f>"Прочие транзитные счета"</f>
        <v>Прочие транзитные счета</v>
      </c>
      <c r="F135" t="str">
        <f>"1"</f>
        <v>1</v>
      </c>
      <c r="G135" t="str">
        <f>"4"</f>
        <v>4</v>
      </c>
      <c r="H135" t="str">
        <f>"1"</f>
        <v>1</v>
      </c>
      <c r="I135" s="2">
        <v>325131.68</v>
      </c>
    </row>
    <row r="136" spans="1:9" ht="15">
      <c r="A136">
        <v>169</v>
      </c>
      <c r="B136" s="1">
        <v>45198</v>
      </c>
      <c r="C136">
        <v>26</v>
      </c>
      <c r="D136" t="str">
        <f>"2870"</f>
        <v>2870</v>
      </c>
      <c r="E136" t="str">
        <f>"Прочие транзитные счета"</f>
        <v>Прочие транзитные счета</v>
      </c>
      <c r="F136" t="str">
        <f>"2"</f>
        <v>2</v>
      </c>
      <c r="G136" t="str">
        <f>"9"</f>
        <v>9</v>
      </c>
      <c r="H136" t="str">
        <f>"2"</f>
        <v>2</v>
      </c>
      <c r="I136" s="2">
        <v>65111.52</v>
      </c>
    </row>
    <row r="137" spans="1:9" ht="15">
      <c r="A137">
        <v>96</v>
      </c>
      <c r="B137" s="1">
        <v>45198</v>
      </c>
      <c r="C137">
        <v>26</v>
      </c>
      <c r="D137" t="str">
        <f>"2894"</f>
        <v>2894</v>
      </c>
      <c r="E137" t="str">
        <f>"Обязательства по операциям спот"</f>
        <v>Обязательства по операциям спот</v>
      </c>
      <c r="F137" t="str">
        <f>"1"</f>
        <v>1</v>
      </c>
      <c r="G137" t="str">
        <f>"4"</f>
        <v>4</v>
      </c>
      <c r="H137" t="str">
        <f>"1"</f>
        <v>1</v>
      </c>
      <c r="I137" s="2">
        <v>18246000</v>
      </c>
    </row>
    <row r="138" spans="1:9" ht="15">
      <c r="A138">
        <v>90</v>
      </c>
      <c r="B138" s="1">
        <v>45198</v>
      </c>
      <c r="C138">
        <v>26</v>
      </c>
      <c r="D138" t="str">
        <f>"3001"</f>
        <v>3001</v>
      </c>
      <c r="E138" t="str">
        <f>"Уставный капитал – простые акции"</f>
        <v>Уставный капитал – простые акции</v>
      </c>
      <c r="F138">
        <f>""</f>
      </c>
      <c r="G138">
        <f>""</f>
      </c>
      <c r="H138">
        <f>""</f>
      </c>
      <c r="I138" s="2">
        <v>8933490720</v>
      </c>
    </row>
    <row r="139" spans="1:9" ht="15">
      <c r="A139">
        <v>117</v>
      </c>
      <c r="B139" s="1">
        <v>45198</v>
      </c>
      <c r="C139">
        <v>26</v>
      </c>
      <c r="D139" t="str">
        <f>"3510"</f>
        <v>3510</v>
      </c>
      <c r="E139" t="str">
        <f>"Резервный капитал"</f>
        <v>Резервный капитал</v>
      </c>
      <c r="F139">
        <f>""</f>
      </c>
      <c r="G139">
        <f>""</f>
      </c>
      <c r="H139">
        <f>""</f>
      </c>
      <c r="I139" s="2">
        <v>1653591859.12</v>
      </c>
    </row>
    <row r="140" spans="1:9" ht="15">
      <c r="A140">
        <v>94</v>
      </c>
      <c r="B140" s="1">
        <v>45198</v>
      </c>
      <c r="C140">
        <v>26</v>
      </c>
      <c r="D140" t="str">
        <f>"3580"</f>
        <v>3580</v>
      </c>
      <c r="E140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140">
        <f>""</f>
      </c>
      <c r="G140">
        <f>""</f>
      </c>
      <c r="H140">
        <f>""</f>
      </c>
      <c r="I140" s="2">
        <v>38575853295.09</v>
      </c>
    </row>
    <row r="141" spans="1:9" ht="15">
      <c r="A141">
        <v>95</v>
      </c>
      <c r="B141" s="1">
        <v>45198</v>
      </c>
      <c r="C141">
        <v>26</v>
      </c>
      <c r="D141" t="str">
        <f>"3599"</f>
        <v>3599</v>
      </c>
      <c r="E141" t="str">
        <f>"Нераспределенная чистая прибыль (непокрытый убыток)"</f>
        <v>Нераспределенная чистая прибыль (непокрытый убыток)</v>
      </c>
      <c r="F141">
        <f>""</f>
      </c>
      <c r="G141">
        <f>""</f>
      </c>
      <c r="H141">
        <f>""</f>
      </c>
      <c r="I141" s="2">
        <v>12982526182.69</v>
      </c>
    </row>
    <row r="142" spans="1:9" ht="15">
      <c r="A142">
        <v>98</v>
      </c>
      <c r="B142" s="1">
        <v>45198</v>
      </c>
      <c r="C142">
        <v>26</v>
      </c>
      <c r="D142" t="str">
        <f>"4052"</f>
        <v>4052</v>
      </c>
      <c r="E142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142">
        <f>""</f>
      </c>
      <c r="G142">
        <f>""</f>
      </c>
      <c r="H142">
        <f>""</f>
      </c>
      <c r="I142" s="2">
        <v>1435355126.08</v>
      </c>
    </row>
    <row r="143" spans="1:9" ht="15">
      <c r="A143">
        <v>100</v>
      </c>
      <c r="B143" s="1">
        <v>45198</v>
      </c>
      <c r="C143">
        <v>26</v>
      </c>
      <c r="D143" t="str">
        <f>"4101"</f>
        <v>4101</v>
      </c>
      <c r="E143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143">
        <f>""</f>
      </c>
      <c r="G143">
        <f>""</f>
      </c>
      <c r="H143">
        <f>""</f>
      </c>
      <c r="I143" s="2">
        <v>1899389037.5</v>
      </c>
    </row>
    <row r="144" spans="1:9" ht="15">
      <c r="A144">
        <v>97</v>
      </c>
      <c r="B144" s="1">
        <v>45198</v>
      </c>
      <c r="C144">
        <v>26</v>
      </c>
      <c r="D144" t="str">
        <f>"4103"</f>
        <v>4103</v>
      </c>
      <c r="E144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144">
        <f>""</f>
      </c>
      <c r="G144">
        <f>""</f>
      </c>
      <c r="H144">
        <f>""</f>
      </c>
      <c r="I144" s="2">
        <v>4510293245.46</v>
      </c>
    </row>
    <row r="145" spans="1:9" ht="15">
      <c r="A145">
        <v>103</v>
      </c>
      <c r="B145" s="1">
        <v>45198</v>
      </c>
      <c r="C145">
        <v>26</v>
      </c>
      <c r="D145" t="str">
        <f>"4253"</f>
        <v>4253</v>
      </c>
      <c r="E145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145">
        <f>""</f>
      </c>
      <c r="G145">
        <f>""</f>
      </c>
      <c r="H145">
        <f>""</f>
      </c>
      <c r="I145" s="2">
        <v>3777777.78</v>
      </c>
    </row>
    <row r="146" spans="1:9" ht="15">
      <c r="A146">
        <v>102</v>
      </c>
      <c r="B146" s="1">
        <v>45198</v>
      </c>
      <c r="C146">
        <v>26</v>
      </c>
      <c r="D146" t="str">
        <f>"4254"</f>
        <v>4254</v>
      </c>
      <c r="E146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F146">
        <f>""</f>
      </c>
      <c r="G146">
        <f>""</f>
      </c>
      <c r="H146">
        <f>""</f>
      </c>
      <c r="I146" s="2">
        <v>13901573.04</v>
      </c>
    </row>
    <row r="147" spans="1:9" ht="15">
      <c r="A147">
        <v>161</v>
      </c>
      <c r="B147" s="1">
        <v>45198</v>
      </c>
      <c r="C147">
        <v>26</v>
      </c>
      <c r="D147" t="str">
        <f>"4417"</f>
        <v>4417</v>
      </c>
      <c r="E147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147">
        <f>""</f>
      </c>
      <c r="G147">
        <f>""</f>
      </c>
      <c r="H147">
        <f>""</f>
      </c>
      <c r="I147" s="2">
        <v>1682362058.1</v>
      </c>
    </row>
    <row r="148" spans="1:9" ht="15">
      <c r="A148">
        <v>104</v>
      </c>
      <c r="B148" s="1">
        <v>45198</v>
      </c>
      <c r="C148">
        <v>26</v>
      </c>
      <c r="D148" t="str">
        <f>"4481"</f>
        <v>4481</v>
      </c>
      <c r="E148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148">
        <f>""</f>
      </c>
      <c r="G148">
        <f>""</f>
      </c>
      <c r="H148">
        <f>""</f>
      </c>
      <c r="I148" s="2">
        <v>896944791.48</v>
      </c>
    </row>
    <row r="149" spans="1:9" ht="15">
      <c r="A149">
        <v>107</v>
      </c>
      <c r="B149" s="1">
        <v>45198</v>
      </c>
      <c r="C149">
        <v>26</v>
      </c>
      <c r="D149" t="str">
        <f>"4482"</f>
        <v>4482</v>
      </c>
      <c r="E149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149">
        <f>""</f>
      </c>
      <c r="G149">
        <f>""</f>
      </c>
      <c r="H149">
        <f>""</f>
      </c>
      <c r="I149" s="2">
        <v>3988947226.53</v>
      </c>
    </row>
    <row r="150" spans="1:9" ht="15">
      <c r="A150">
        <v>160</v>
      </c>
      <c r="B150" s="1">
        <v>45198</v>
      </c>
      <c r="C150">
        <v>26</v>
      </c>
      <c r="D150" t="str">
        <f>"4530"</f>
        <v>4530</v>
      </c>
      <c r="E150" t="str">
        <f>"Доходы по купле-продаже иностранной валюты"</f>
        <v>Доходы по купле-продаже иностранной валюты</v>
      </c>
      <c r="F150">
        <f>""</f>
      </c>
      <c r="G150">
        <f>""</f>
      </c>
      <c r="H150">
        <f>""</f>
      </c>
      <c r="I150" s="2">
        <v>4836140005.87</v>
      </c>
    </row>
    <row r="151" spans="1:9" ht="15">
      <c r="A151">
        <v>106</v>
      </c>
      <c r="B151" s="1">
        <v>45198</v>
      </c>
      <c r="C151">
        <v>26</v>
      </c>
      <c r="D151" t="str">
        <f>"4601"</f>
        <v>4601</v>
      </c>
      <c r="E151" t="str">
        <f>"Комиссионные доходы за услуги по переводным операциям"</f>
        <v>Комиссионные доходы за услуги по переводным операциям</v>
      </c>
      <c r="F151">
        <f>""</f>
      </c>
      <c r="G151">
        <f>""</f>
      </c>
      <c r="H151">
        <f>""</f>
      </c>
      <c r="I151" s="2">
        <v>137451577.51</v>
      </c>
    </row>
    <row r="152" spans="1:9" ht="15">
      <c r="A152">
        <v>108</v>
      </c>
      <c r="B152" s="1">
        <v>45198</v>
      </c>
      <c r="C152">
        <v>26</v>
      </c>
      <c r="D152" t="str">
        <f>"4602"</f>
        <v>4602</v>
      </c>
      <c r="E152" t="str">
        <f>"Комиссионные доходы за агентские услуги"</f>
        <v>Комиссионные доходы за агентские услуги</v>
      </c>
      <c r="F152">
        <f>""</f>
      </c>
      <c r="G152">
        <f>""</f>
      </c>
      <c r="H152">
        <f>""</f>
      </c>
      <c r="I152" s="2">
        <v>42081046.98</v>
      </c>
    </row>
    <row r="153" spans="1:9" ht="15">
      <c r="A153">
        <v>109</v>
      </c>
      <c r="B153" s="1">
        <v>45198</v>
      </c>
      <c r="C153">
        <v>26</v>
      </c>
      <c r="D153" t="str">
        <f>"4606"</f>
        <v>4606</v>
      </c>
      <c r="E153" t="str">
        <f>"Комиссионные доходы за услуги по операциям с гарантиями"</f>
        <v>Комиссионные доходы за услуги по операциям с гарантиями</v>
      </c>
      <c r="F153">
        <f>""</f>
      </c>
      <c r="G153">
        <f>""</f>
      </c>
      <c r="H153">
        <f>""</f>
      </c>
      <c r="I153" s="2">
        <v>476988.84</v>
      </c>
    </row>
    <row r="154" spans="1:9" ht="15">
      <c r="A154">
        <v>110</v>
      </c>
      <c r="B154" s="1">
        <v>45198</v>
      </c>
      <c r="C154">
        <v>26</v>
      </c>
      <c r="D154" t="str">
        <f>"4607"</f>
        <v>4607</v>
      </c>
      <c r="E154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154">
        <f>""</f>
      </c>
      <c r="G154">
        <f>""</f>
      </c>
      <c r="H154">
        <f>""</f>
      </c>
      <c r="I154" s="2">
        <v>341450</v>
      </c>
    </row>
    <row r="155" spans="1:9" ht="15">
      <c r="A155">
        <v>111</v>
      </c>
      <c r="B155" s="1">
        <v>45198</v>
      </c>
      <c r="C155">
        <v>26</v>
      </c>
      <c r="D155" t="str">
        <f>"4608"</f>
        <v>4608</v>
      </c>
      <c r="E155" t="str">
        <f>"Прочие комиссионные доходы"</f>
        <v>Прочие комиссионные доходы</v>
      </c>
      <c r="F155">
        <f>""</f>
      </c>
      <c r="G155">
        <f>""</f>
      </c>
      <c r="H155">
        <f>""</f>
      </c>
      <c r="I155" s="2">
        <v>825593.22</v>
      </c>
    </row>
    <row r="156" spans="1:9" ht="15">
      <c r="A156">
        <v>112</v>
      </c>
      <c r="B156" s="1">
        <v>45198</v>
      </c>
      <c r="C156">
        <v>26</v>
      </c>
      <c r="D156" t="str">
        <f>"4611"</f>
        <v>4611</v>
      </c>
      <c r="E156" t="str">
        <f>"Комиссионные доходы за услуги по кассовым операциям"</f>
        <v>Комиссионные доходы за услуги по кассовым операциям</v>
      </c>
      <c r="F156">
        <f>""</f>
      </c>
      <c r="G156">
        <f>""</f>
      </c>
      <c r="H156">
        <f>""</f>
      </c>
      <c r="I156" s="2">
        <v>7094621.32</v>
      </c>
    </row>
    <row r="157" spans="1:9" ht="15">
      <c r="A157">
        <v>114</v>
      </c>
      <c r="B157" s="1">
        <v>45198</v>
      </c>
      <c r="C157">
        <v>26</v>
      </c>
      <c r="D157" t="str">
        <f>"4612"</f>
        <v>4612</v>
      </c>
      <c r="E157" t="str">
        <f>"Комиссионные доходы по документарным расчетам"</f>
        <v>Комиссионные доходы по документарным расчетам</v>
      </c>
      <c r="F157">
        <f>""</f>
      </c>
      <c r="G157">
        <f>""</f>
      </c>
      <c r="H157">
        <f>""</f>
      </c>
      <c r="I157" s="2">
        <v>122876.95</v>
      </c>
    </row>
    <row r="158" spans="1:9" ht="15">
      <c r="A158">
        <v>118</v>
      </c>
      <c r="B158" s="1">
        <v>45198</v>
      </c>
      <c r="C158">
        <v>26</v>
      </c>
      <c r="D158" t="str">
        <f>"4619"</f>
        <v>4619</v>
      </c>
      <c r="E158" t="str">
        <f>"Комиссионные доходы за обслуживание платежных карточек"</f>
        <v>Комиссионные доходы за обслуживание платежных карточек</v>
      </c>
      <c r="F158">
        <f>""</f>
      </c>
      <c r="G158">
        <f>""</f>
      </c>
      <c r="H158">
        <f>""</f>
      </c>
      <c r="I158" s="2">
        <v>117000</v>
      </c>
    </row>
    <row r="159" spans="1:9" ht="15">
      <c r="A159">
        <v>116</v>
      </c>
      <c r="B159" s="1">
        <v>45198</v>
      </c>
      <c r="C159">
        <v>26</v>
      </c>
      <c r="D159" t="str">
        <f>"4703"</f>
        <v>4703</v>
      </c>
      <c r="E159" t="str">
        <f>"Доход от переоценки иностранной валюты"</f>
        <v>Доход от переоценки иностранной валюты</v>
      </c>
      <c r="F159">
        <f>""</f>
      </c>
      <c r="G159">
        <f>""</f>
      </c>
      <c r="H159">
        <f>""</f>
      </c>
      <c r="I159" s="2">
        <v>282820605.74</v>
      </c>
    </row>
    <row r="160" spans="1:9" ht="15">
      <c r="A160">
        <v>115</v>
      </c>
      <c r="B160" s="1">
        <v>45198</v>
      </c>
      <c r="C160">
        <v>26</v>
      </c>
      <c r="D160" t="str">
        <f>"4921"</f>
        <v>4921</v>
      </c>
      <c r="E160" t="str">
        <f>"Прочие доходы от банковской деятельности"</f>
        <v>Прочие доходы от банковской деятельности</v>
      </c>
      <c r="F160">
        <f>""</f>
      </c>
      <c r="G160">
        <f>""</f>
      </c>
      <c r="H160">
        <f>""</f>
      </c>
      <c r="I160" s="2">
        <v>230985.43</v>
      </c>
    </row>
    <row r="161" spans="1:9" ht="15">
      <c r="A161">
        <v>158</v>
      </c>
      <c r="B161" s="1">
        <v>45198</v>
      </c>
      <c r="C161">
        <v>26</v>
      </c>
      <c r="D161" t="str">
        <f>"4922"</f>
        <v>4922</v>
      </c>
      <c r="E161" t="str">
        <f>"Прочие доходы от неосновной деятельности"</f>
        <v>Прочие доходы от неосновной деятельности</v>
      </c>
      <c r="F161">
        <f>""</f>
      </c>
      <c r="G161">
        <f>""</f>
      </c>
      <c r="H161">
        <f>""</f>
      </c>
      <c r="I161" s="2">
        <v>1555735.73</v>
      </c>
    </row>
    <row r="162" spans="1:9" ht="15">
      <c r="A162">
        <v>157</v>
      </c>
      <c r="B162" s="1">
        <v>45198</v>
      </c>
      <c r="C162">
        <v>26</v>
      </c>
      <c r="D162" t="str">
        <f>"4955"</f>
        <v>4955</v>
      </c>
      <c r="E162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162">
        <f>""</f>
      </c>
      <c r="G162">
        <f>""</f>
      </c>
      <c r="H162">
        <f>""</f>
      </c>
      <c r="I162" s="2">
        <v>65655444</v>
      </c>
    </row>
    <row r="163" spans="1:9" ht="15">
      <c r="A163">
        <v>119</v>
      </c>
      <c r="B163" s="1">
        <v>45198</v>
      </c>
      <c r="C163">
        <v>26</v>
      </c>
      <c r="D163" t="str">
        <f>"4956"</f>
        <v>4956</v>
      </c>
      <c r="E163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163">
        <f>""</f>
      </c>
      <c r="G163">
        <f>""</f>
      </c>
      <c r="H163">
        <f>""</f>
      </c>
      <c r="I163" s="2">
        <v>332849.64</v>
      </c>
    </row>
    <row r="164" spans="1:9" ht="15">
      <c r="A164">
        <v>159</v>
      </c>
      <c r="B164" s="1">
        <v>45198</v>
      </c>
      <c r="C164">
        <v>26</v>
      </c>
      <c r="D164" t="str">
        <f>"5054"</f>
        <v>5054</v>
      </c>
      <c r="E164" t="str">
        <f>"Расходы, связанные с выплатой вознаграждения по краткосрочным займам, полученным от других банков"</f>
        <v>Расходы, связанные с выплатой вознаграждения по краткосрочным займам, полученным от других банков</v>
      </c>
      <c r="F164">
        <f>""</f>
      </c>
      <c r="G164">
        <f>""</f>
      </c>
      <c r="H164">
        <f>""</f>
      </c>
      <c r="I164" s="2">
        <v>57879679.36</v>
      </c>
    </row>
    <row r="165" spans="1:9" ht="15">
      <c r="A165">
        <v>184</v>
      </c>
      <c r="B165" s="1">
        <v>45198</v>
      </c>
      <c r="C165">
        <v>26</v>
      </c>
      <c r="D165" t="str">
        <f>"5056"</f>
        <v>5056</v>
      </c>
      <c r="E165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F165">
        <f>""</f>
      </c>
      <c r="G165">
        <f>""</f>
      </c>
      <c r="H165">
        <f>""</f>
      </c>
      <c r="I165" s="2">
        <v>141297488.32</v>
      </c>
    </row>
    <row r="166" spans="1:9" ht="15">
      <c r="A166">
        <v>182</v>
      </c>
      <c r="B166" s="1">
        <v>45198</v>
      </c>
      <c r="C166">
        <v>26</v>
      </c>
      <c r="D166" t="str">
        <f>"5113"</f>
        <v>5113</v>
      </c>
      <c r="E166" t="str">
        <f>"Расходы, связанные с выплатой вознаграждения по займам овернайт других банков"</f>
        <v>Расходы, связанные с выплатой вознаграждения по займам овернайт других банков</v>
      </c>
      <c r="F166">
        <f>""</f>
      </c>
      <c r="G166">
        <f>""</f>
      </c>
      <c r="H166">
        <f>""</f>
      </c>
      <c r="I166" s="2">
        <v>21322.69</v>
      </c>
    </row>
    <row r="167" spans="1:9" ht="15">
      <c r="A167">
        <v>162</v>
      </c>
      <c r="B167" s="1">
        <v>45198</v>
      </c>
      <c r="C167">
        <v>26</v>
      </c>
      <c r="D167" t="str">
        <f>"5215"</f>
        <v>5215</v>
      </c>
      <c r="E167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167">
        <f>""</f>
      </c>
      <c r="G167">
        <f>""</f>
      </c>
      <c r="H167">
        <f>""</f>
      </c>
      <c r="I167" s="2">
        <v>832753749.53</v>
      </c>
    </row>
    <row r="168" spans="1:9" ht="15">
      <c r="A168">
        <v>201</v>
      </c>
      <c r="B168" s="1">
        <v>45198</v>
      </c>
      <c r="C168">
        <v>26</v>
      </c>
      <c r="D168" t="str">
        <f>"5217"</f>
        <v>5217</v>
      </c>
      <c r="E168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168">
        <f>""</f>
      </c>
      <c r="G168">
        <f>""</f>
      </c>
      <c r="H168">
        <f>""</f>
      </c>
      <c r="I168" s="2">
        <v>56317042.8</v>
      </c>
    </row>
    <row r="169" spans="1:9" ht="15">
      <c r="A169">
        <v>163</v>
      </c>
      <c r="B169" s="1">
        <v>45198</v>
      </c>
      <c r="C169">
        <v>26</v>
      </c>
      <c r="D169" t="str">
        <f>"5219"</f>
        <v>5219</v>
      </c>
      <c r="E169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169">
        <f>""</f>
      </c>
      <c r="G169">
        <f>""</f>
      </c>
      <c r="H169">
        <f>""</f>
      </c>
      <c r="I169" s="2">
        <v>373733058.9</v>
      </c>
    </row>
    <row r="170" spans="1:9" ht="15">
      <c r="A170">
        <v>165</v>
      </c>
      <c r="B170" s="1">
        <v>45198</v>
      </c>
      <c r="C170">
        <v>26</v>
      </c>
      <c r="D170" t="str">
        <f>"5227"</f>
        <v>5227</v>
      </c>
      <c r="E170" t="str">
        <f>"Процентные расходы по обязательствам по аренде"</f>
        <v>Процентные расходы по обязательствам по аренде</v>
      </c>
      <c r="F170">
        <f>""</f>
      </c>
      <c r="G170">
        <f>""</f>
      </c>
      <c r="H170">
        <f>""</f>
      </c>
      <c r="I170" s="2">
        <v>5354783.84</v>
      </c>
    </row>
    <row r="171" spans="1:9" ht="15">
      <c r="A171">
        <v>164</v>
      </c>
      <c r="B171" s="1">
        <v>45198</v>
      </c>
      <c r="C171">
        <v>26</v>
      </c>
      <c r="D171" t="str">
        <f>"5308"</f>
        <v>5308</v>
      </c>
      <c r="E171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171">
        <f>""</f>
      </c>
      <c r="G171">
        <f>""</f>
      </c>
      <c r="H171">
        <f>""</f>
      </c>
      <c r="I171" s="2">
        <v>31153164.58</v>
      </c>
    </row>
    <row r="172" spans="1:9" ht="15">
      <c r="A172">
        <v>167</v>
      </c>
      <c r="B172" s="1">
        <v>45198</v>
      </c>
      <c r="C172">
        <v>26</v>
      </c>
      <c r="D172" t="str">
        <f>"5451"</f>
        <v>5451</v>
      </c>
      <c r="E172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172">
        <f>""</f>
      </c>
      <c r="G172">
        <f>""</f>
      </c>
      <c r="H172">
        <f>""</f>
      </c>
      <c r="I172" s="2">
        <v>189089.69</v>
      </c>
    </row>
    <row r="173" spans="1:9" ht="15">
      <c r="A173">
        <v>168</v>
      </c>
      <c r="B173" s="1">
        <v>45198</v>
      </c>
      <c r="C173">
        <v>26</v>
      </c>
      <c r="D173" t="str">
        <f>"5455"</f>
        <v>5455</v>
      </c>
      <c r="E173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173">
        <f>""</f>
      </c>
      <c r="G173">
        <f>""</f>
      </c>
      <c r="H173">
        <f>""</f>
      </c>
      <c r="I173" s="2">
        <v>90685137</v>
      </c>
    </row>
    <row r="174" spans="1:9" ht="15">
      <c r="A174">
        <v>166</v>
      </c>
      <c r="B174" s="1">
        <v>45198</v>
      </c>
      <c r="C174">
        <v>26</v>
      </c>
      <c r="D174" t="str">
        <f>"5456"</f>
        <v>5456</v>
      </c>
      <c r="E174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174">
        <f>""</f>
      </c>
      <c r="G174">
        <f>""</f>
      </c>
      <c r="H174">
        <f>""</f>
      </c>
      <c r="I174" s="2">
        <v>600502.42</v>
      </c>
    </row>
    <row r="175" spans="1:9" ht="15">
      <c r="A175">
        <v>170</v>
      </c>
      <c r="B175" s="1">
        <v>45198</v>
      </c>
      <c r="C175">
        <v>26</v>
      </c>
      <c r="D175" t="str">
        <f>"5530"</f>
        <v>5530</v>
      </c>
      <c r="E175" t="str">
        <f>"Расходы по купле-продаже иностранной валюты"</f>
        <v>Расходы по купле-продаже иностранной валюты</v>
      </c>
      <c r="F175">
        <f>""</f>
      </c>
      <c r="G175">
        <f>""</f>
      </c>
      <c r="H175">
        <f>""</f>
      </c>
      <c r="I175" s="2">
        <v>2480177412.73</v>
      </c>
    </row>
    <row r="176" spans="1:9" ht="15">
      <c r="A176">
        <v>171</v>
      </c>
      <c r="B176" s="1">
        <v>45198</v>
      </c>
      <c r="C176">
        <v>26</v>
      </c>
      <c r="D176" t="str">
        <f>"5601"</f>
        <v>5601</v>
      </c>
      <c r="E176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176">
        <f>""</f>
      </c>
      <c r="G176">
        <f>""</f>
      </c>
      <c r="H176">
        <f>""</f>
      </c>
      <c r="I176" s="2">
        <v>12257118.24</v>
      </c>
    </row>
    <row r="177" spans="1:9" ht="15">
      <c r="A177">
        <v>173</v>
      </c>
      <c r="B177" s="1">
        <v>45198</v>
      </c>
      <c r="C177">
        <v>26</v>
      </c>
      <c r="D177" t="str">
        <f>"5607"</f>
        <v>5607</v>
      </c>
      <c r="E177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177">
        <f>""</f>
      </c>
      <c r="G177">
        <f>""</f>
      </c>
      <c r="H177">
        <f>""</f>
      </c>
      <c r="I177" s="2">
        <v>155773.73</v>
      </c>
    </row>
    <row r="178" spans="1:9" ht="15">
      <c r="A178">
        <v>172</v>
      </c>
      <c r="B178" s="1">
        <v>45198</v>
      </c>
      <c r="C178">
        <v>26</v>
      </c>
      <c r="D178" t="str">
        <f>"5608"</f>
        <v>5608</v>
      </c>
      <c r="E178" t="str">
        <f>"Прочие комиссионные расходы"</f>
        <v>Прочие комиссионные расходы</v>
      </c>
      <c r="F178">
        <f>""</f>
      </c>
      <c r="G178">
        <f>""</f>
      </c>
      <c r="H178">
        <f>""</f>
      </c>
      <c r="I178" s="2">
        <v>146530694.42</v>
      </c>
    </row>
    <row r="179" spans="1:9" ht="15">
      <c r="A179">
        <v>175</v>
      </c>
      <c r="B179" s="1">
        <v>45198</v>
      </c>
      <c r="C179">
        <v>26</v>
      </c>
      <c r="D179" t="str">
        <f>"5721"</f>
        <v>5721</v>
      </c>
      <c r="E179" t="str">
        <f>"Расходы по оплате труда"</f>
        <v>Расходы по оплате труда</v>
      </c>
      <c r="F179">
        <f>""</f>
      </c>
      <c r="G179">
        <f>""</f>
      </c>
      <c r="H179">
        <f>""</f>
      </c>
      <c r="I179" s="2">
        <v>605425661</v>
      </c>
    </row>
    <row r="180" spans="1:9" ht="15">
      <c r="A180">
        <v>174</v>
      </c>
      <c r="B180" s="1">
        <v>45198</v>
      </c>
      <c r="C180">
        <v>26</v>
      </c>
      <c r="D180" t="str">
        <f>"5722"</f>
        <v>5722</v>
      </c>
      <c r="E180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180">
        <f>""</f>
      </c>
      <c r="G180">
        <f>""</f>
      </c>
      <c r="H180">
        <f>""</f>
      </c>
      <c r="I180" s="2">
        <v>26223442</v>
      </c>
    </row>
    <row r="181" spans="1:9" ht="15">
      <c r="A181">
        <v>176</v>
      </c>
      <c r="B181" s="1">
        <v>45198</v>
      </c>
      <c r="C181">
        <v>26</v>
      </c>
      <c r="D181" t="str">
        <f>"5729"</f>
        <v>5729</v>
      </c>
      <c r="E181" t="str">
        <f>"Прочие выплаты"</f>
        <v>Прочие выплаты</v>
      </c>
      <c r="F181">
        <f>""</f>
      </c>
      <c r="G181">
        <f>""</f>
      </c>
      <c r="H181">
        <f>""</f>
      </c>
      <c r="I181" s="2">
        <v>154717544.83</v>
      </c>
    </row>
    <row r="182" spans="1:9" ht="15">
      <c r="A182">
        <v>177</v>
      </c>
      <c r="B182" s="1">
        <v>45198</v>
      </c>
      <c r="C182">
        <v>26</v>
      </c>
      <c r="D182" t="str">
        <f>"5741"</f>
        <v>5741</v>
      </c>
      <c r="E182" t="str">
        <f>"Транспортные расходы"</f>
        <v>Транспортные расходы</v>
      </c>
      <c r="F182">
        <f>""</f>
      </c>
      <c r="G182">
        <f>""</f>
      </c>
      <c r="H182">
        <f>""</f>
      </c>
      <c r="I182" s="2">
        <v>4322547.07</v>
      </c>
    </row>
    <row r="183" spans="1:9" ht="15">
      <c r="A183">
        <v>178</v>
      </c>
      <c r="B183" s="1">
        <v>45198</v>
      </c>
      <c r="C183">
        <v>26</v>
      </c>
      <c r="D183" t="str">
        <f>"5742"</f>
        <v>5742</v>
      </c>
      <c r="E183" t="str">
        <f>"Административные расходы"</f>
        <v>Административные расходы</v>
      </c>
      <c r="F183">
        <f>""</f>
      </c>
      <c r="G183">
        <f>""</f>
      </c>
      <c r="H183">
        <f>""</f>
      </c>
      <c r="I183" s="2">
        <v>87853384.73</v>
      </c>
    </row>
    <row r="184" spans="1:9" ht="15">
      <c r="A184">
        <v>180</v>
      </c>
      <c r="B184" s="1">
        <v>45198</v>
      </c>
      <c r="C184">
        <v>26</v>
      </c>
      <c r="D184" t="str">
        <f>"5743"</f>
        <v>5743</v>
      </c>
      <c r="E184" t="str">
        <f>"Расходы на инкассацию"</f>
        <v>Расходы на инкассацию</v>
      </c>
      <c r="F184">
        <f>""</f>
      </c>
      <c r="G184">
        <f>""</f>
      </c>
      <c r="H184">
        <f>""</f>
      </c>
      <c r="I184" s="2">
        <v>327603.19</v>
      </c>
    </row>
    <row r="185" spans="1:9" ht="15">
      <c r="A185">
        <v>179</v>
      </c>
      <c r="B185" s="1">
        <v>45198</v>
      </c>
      <c r="C185">
        <v>26</v>
      </c>
      <c r="D185" t="str">
        <f>"5744"</f>
        <v>5744</v>
      </c>
      <c r="E185" t="str">
        <f>"Расходы на ремонт"</f>
        <v>Расходы на ремонт</v>
      </c>
      <c r="F185">
        <f>""</f>
      </c>
      <c r="G185">
        <f>""</f>
      </c>
      <c r="H185">
        <f>""</f>
      </c>
      <c r="I185" s="2">
        <v>1612025</v>
      </c>
    </row>
    <row r="186" spans="1:9" ht="15">
      <c r="A186">
        <v>181</v>
      </c>
      <c r="B186" s="1">
        <v>45198</v>
      </c>
      <c r="C186">
        <v>26</v>
      </c>
      <c r="D186" t="str">
        <f>"5745"</f>
        <v>5745</v>
      </c>
      <c r="E186" t="str">
        <f>"Расходы на рекламу"</f>
        <v>Расходы на рекламу</v>
      </c>
      <c r="F186">
        <f>""</f>
      </c>
      <c r="G186">
        <f>""</f>
      </c>
      <c r="H186">
        <f>""</f>
      </c>
      <c r="I186" s="2">
        <v>8874800</v>
      </c>
    </row>
    <row r="187" spans="1:9" ht="15">
      <c r="A187">
        <v>187</v>
      </c>
      <c r="B187" s="1">
        <v>45198</v>
      </c>
      <c r="C187">
        <v>26</v>
      </c>
      <c r="D187" t="str">
        <f>"5746"</f>
        <v>5746</v>
      </c>
      <c r="E187" t="str">
        <f>"Расходы на охрану и сигнализацию"</f>
        <v>Расходы на охрану и сигнализацию</v>
      </c>
      <c r="F187">
        <f>""</f>
      </c>
      <c r="G187">
        <f>""</f>
      </c>
      <c r="H187">
        <f>""</f>
      </c>
      <c r="I187" s="2">
        <v>21432544.63</v>
      </c>
    </row>
    <row r="188" spans="1:9" ht="15">
      <c r="A188">
        <v>183</v>
      </c>
      <c r="B188" s="1">
        <v>45198</v>
      </c>
      <c r="C188">
        <v>26</v>
      </c>
      <c r="D188" t="str">
        <f>"5747"</f>
        <v>5747</v>
      </c>
      <c r="E188" t="str">
        <f>"Представительские расходы"</f>
        <v>Представительские расходы</v>
      </c>
      <c r="F188">
        <f>""</f>
      </c>
      <c r="G188">
        <f>""</f>
      </c>
      <c r="H188">
        <f>""</f>
      </c>
      <c r="I188" s="2">
        <v>2586989.69</v>
      </c>
    </row>
    <row r="189" spans="1:9" ht="15">
      <c r="A189">
        <v>186</v>
      </c>
      <c r="B189" s="1">
        <v>45198</v>
      </c>
      <c r="C189">
        <v>26</v>
      </c>
      <c r="D189" t="str">
        <f>"5748"</f>
        <v>5748</v>
      </c>
      <c r="E189" t="str">
        <f>"Прочие общехозяйственные расходы"</f>
        <v>Прочие общехозяйственные расходы</v>
      </c>
      <c r="F189">
        <f>""</f>
      </c>
      <c r="G189">
        <f>""</f>
      </c>
      <c r="H189">
        <f>""</f>
      </c>
      <c r="I189" s="2">
        <v>15652519.28</v>
      </c>
    </row>
    <row r="190" spans="1:9" ht="15">
      <c r="A190">
        <v>185</v>
      </c>
      <c r="B190" s="1">
        <v>45198</v>
      </c>
      <c r="C190">
        <v>26</v>
      </c>
      <c r="D190" t="str">
        <f>"5749"</f>
        <v>5749</v>
      </c>
      <c r="E190" t="str">
        <f>"Расходы на служебные командировки"</f>
        <v>Расходы на служебные командировки</v>
      </c>
      <c r="F190">
        <f>""</f>
      </c>
      <c r="G190">
        <f>""</f>
      </c>
      <c r="H190">
        <f>""</f>
      </c>
      <c r="I190" s="2">
        <v>34172835.89</v>
      </c>
    </row>
    <row r="191" spans="1:9" ht="15">
      <c r="A191">
        <v>188</v>
      </c>
      <c r="B191" s="1">
        <v>45198</v>
      </c>
      <c r="C191">
        <v>26</v>
      </c>
      <c r="D191" t="str">
        <f>"5750"</f>
        <v>5750</v>
      </c>
      <c r="E191" t="str">
        <f>"Расходы по аудиту и консультационным услугам"</f>
        <v>Расходы по аудиту и консультационным услугам</v>
      </c>
      <c r="F191">
        <f>""</f>
      </c>
      <c r="G191">
        <f>""</f>
      </c>
      <c r="H191">
        <f>""</f>
      </c>
      <c r="I191" s="2">
        <v>8912308.04</v>
      </c>
    </row>
    <row r="192" spans="1:9" ht="15">
      <c r="A192">
        <v>189</v>
      </c>
      <c r="B192" s="1">
        <v>45198</v>
      </c>
      <c r="C192">
        <v>26</v>
      </c>
      <c r="D192" t="str">
        <f>"5752"</f>
        <v>5752</v>
      </c>
      <c r="E192" t="str">
        <f>"Расходы по страхованию"</f>
        <v>Расходы по страхованию</v>
      </c>
      <c r="F192">
        <f>""</f>
      </c>
      <c r="G192">
        <f>""</f>
      </c>
      <c r="H192">
        <f>""</f>
      </c>
      <c r="I192" s="2">
        <v>7958443.54</v>
      </c>
    </row>
    <row r="193" spans="1:9" ht="15">
      <c r="A193">
        <v>190</v>
      </c>
      <c r="B193" s="1">
        <v>45198</v>
      </c>
      <c r="C193">
        <v>26</v>
      </c>
      <c r="D193" t="str">
        <f>"5753"</f>
        <v>5753</v>
      </c>
      <c r="E193" t="str">
        <f>"Расходы по услугам связи"</f>
        <v>Расходы по услугам связи</v>
      </c>
      <c r="F193">
        <f>""</f>
      </c>
      <c r="G193">
        <f>""</f>
      </c>
      <c r="H193">
        <f>""</f>
      </c>
      <c r="I193" s="2">
        <v>15054498.82</v>
      </c>
    </row>
    <row r="194" spans="1:9" ht="15">
      <c r="A194">
        <v>191</v>
      </c>
      <c r="B194" s="1">
        <v>45198</v>
      </c>
      <c r="C194">
        <v>26</v>
      </c>
      <c r="D194" t="str">
        <f>"5754"</f>
        <v>5754</v>
      </c>
      <c r="E194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194">
        <f>""</f>
      </c>
      <c r="G194">
        <f>""</f>
      </c>
      <c r="H194">
        <f>""</f>
      </c>
      <c r="I194" s="2">
        <v>7019319</v>
      </c>
    </row>
    <row r="195" spans="1:9" ht="15">
      <c r="A195">
        <v>192</v>
      </c>
      <c r="B195" s="1">
        <v>45198</v>
      </c>
      <c r="C195">
        <v>26</v>
      </c>
      <c r="D195" t="str">
        <f>"5761"</f>
        <v>5761</v>
      </c>
      <c r="E195" t="str">
        <f>"Налог на добавленную стоимость"</f>
        <v>Налог на добавленную стоимость</v>
      </c>
      <c r="F195">
        <f>""</f>
      </c>
      <c r="G195">
        <f>""</f>
      </c>
      <c r="H195">
        <f>""</f>
      </c>
      <c r="I195" s="2">
        <v>24562479.27</v>
      </c>
    </row>
    <row r="196" spans="1:9" ht="15">
      <c r="A196">
        <v>193</v>
      </c>
      <c r="B196" s="1">
        <v>45198</v>
      </c>
      <c r="C196">
        <v>26</v>
      </c>
      <c r="D196" t="str">
        <f>"5763"</f>
        <v>5763</v>
      </c>
      <c r="E196" t="str">
        <f>"Социальный налог"</f>
        <v>Социальный налог</v>
      </c>
      <c r="F196">
        <f>""</f>
      </c>
      <c r="G196">
        <f>""</f>
      </c>
      <c r="H196">
        <f>""</f>
      </c>
      <c r="I196" s="2">
        <v>54326203</v>
      </c>
    </row>
    <row r="197" spans="1:9" ht="15">
      <c r="A197">
        <v>198</v>
      </c>
      <c r="B197" s="1">
        <v>45198</v>
      </c>
      <c r="C197">
        <v>26</v>
      </c>
      <c r="D197" t="str">
        <f>"5764"</f>
        <v>5764</v>
      </c>
      <c r="E197" t="str">
        <f>"Земельный налог"</f>
        <v>Земельный налог</v>
      </c>
      <c r="F197">
        <f>""</f>
      </c>
      <c r="G197">
        <f>""</f>
      </c>
      <c r="H197">
        <f>""</f>
      </c>
      <c r="I197" s="2">
        <v>20734</v>
      </c>
    </row>
    <row r="198" spans="1:9" ht="15">
      <c r="A198">
        <v>194</v>
      </c>
      <c r="B198" s="1">
        <v>45198</v>
      </c>
      <c r="C198">
        <v>26</v>
      </c>
      <c r="D198" t="str">
        <f>"5765"</f>
        <v>5765</v>
      </c>
      <c r="E198" t="str">
        <f>"Налог на имущество юридических лиц"</f>
        <v>Налог на имущество юридических лиц</v>
      </c>
      <c r="F198">
        <f>""</f>
      </c>
      <c r="G198">
        <f>""</f>
      </c>
      <c r="H198">
        <f>""</f>
      </c>
      <c r="I198" s="2">
        <v>8676794</v>
      </c>
    </row>
    <row r="199" spans="1:9" ht="15">
      <c r="A199">
        <v>195</v>
      </c>
      <c r="B199" s="1">
        <v>45198</v>
      </c>
      <c r="C199">
        <v>26</v>
      </c>
      <c r="D199" t="str">
        <f>"5766"</f>
        <v>5766</v>
      </c>
      <c r="E199" t="str">
        <f>"Налог на транспортные средства"</f>
        <v>Налог на транспортные средства</v>
      </c>
      <c r="F199">
        <f>""</f>
      </c>
      <c r="G199">
        <f>""</f>
      </c>
      <c r="H199">
        <f>""</f>
      </c>
      <c r="I199" s="2">
        <v>496264</v>
      </c>
    </row>
    <row r="200" spans="1:9" ht="15">
      <c r="A200">
        <v>206</v>
      </c>
      <c r="B200" s="1">
        <v>45198</v>
      </c>
      <c r="C200">
        <v>26</v>
      </c>
      <c r="D200" t="str">
        <f>"5768"</f>
        <v>5768</v>
      </c>
      <c r="E200" t="str">
        <f>"Прочие налоги и обязательные платежи в бюджет"</f>
        <v>Прочие налоги и обязательные платежи в бюджет</v>
      </c>
      <c r="F200">
        <f>""</f>
      </c>
      <c r="G200">
        <f>""</f>
      </c>
      <c r="H200">
        <f>""</f>
      </c>
      <c r="I200" s="2">
        <v>14975522.55</v>
      </c>
    </row>
    <row r="201" spans="1:9" ht="15">
      <c r="A201">
        <v>196</v>
      </c>
      <c r="B201" s="1">
        <v>45198</v>
      </c>
      <c r="C201">
        <v>26</v>
      </c>
      <c r="D201" t="str">
        <f>"5781"</f>
        <v>5781</v>
      </c>
      <c r="E201" t="str">
        <f>"Расходы по амортизации зданий и сооружений"</f>
        <v>Расходы по амортизации зданий и сооружений</v>
      </c>
      <c r="F201">
        <f>""</f>
      </c>
      <c r="G201">
        <f>""</f>
      </c>
      <c r="H201">
        <f>""</f>
      </c>
      <c r="I201" s="2">
        <v>31522676.09</v>
      </c>
    </row>
    <row r="202" spans="1:9" ht="15">
      <c r="A202">
        <v>197</v>
      </c>
      <c r="B202" s="1">
        <v>45198</v>
      </c>
      <c r="C202">
        <v>26</v>
      </c>
      <c r="D202" t="str">
        <f>"5782"</f>
        <v>5782</v>
      </c>
      <c r="E202" t="str">
        <f>"Расходы по амортизации компьютерного оборудования"</f>
        <v>Расходы по амортизации компьютерного оборудования</v>
      </c>
      <c r="F202">
        <f>""</f>
      </c>
      <c r="G202">
        <f>""</f>
      </c>
      <c r="H202">
        <f>""</f>
      </c>
      <c r="I202" s="2">
        <v>25751532.55</v>
      </c>
    </row>
    <row r="203" spans="1:9" ht="15">
      <c r="A203">
        <v>200</v>
      </c>
      <c r="B203" s="1">
        <v>45198</v>
      </c>
      <c r="C203">
        <v>26</v>
      </c>
      <c r="D203" t="str">
        <f>"5783"</f>
        <v>5783</v>
      </c>
      <c r="E203" t="str">
        <f>"Расходы по амортизации прочих основных средств"</f>
        <v>Расходы по амортизации прочих основных средств</v>
      </c>
      <c r="F203">
        <f>""</f>
      </c>
      <c r="G203">
        <f>""</f>
      </c>
      <c r="H203">
        <f>""</f>
      </c>
      <c r="I203" s="2">
        <v>7277144.4</v>
      </c>
    </row>
    <row r="204" spans="1:9" ht="15">
      <c r="A204">
        <v>199</v>
      </c>
      <c r="B204" s="1">
        <v>45198</v>
      </c>
      <c r="C204">
        <v>26</v>
      </c>
      <c r="D204" t="str">
        <f>"5784"</f>
        <v>5784</v>
      </c>
      <c r="E204" t="str">
        <f>"Расходы по амортизации активов в форме права пользования"</f>
        <v>Расходы по амортизации активов в форме права пользования</v>
      </c>
      <c r="F204">
        <f>""</f>
      </c>
      <c r="G204">
        <f>""</f>
      </c>
      <c r="H204">
        <f>""</f>
      </c>
      <c r="I204" s="2">
        <v>16165664.1</v>
      </c>
    </row>
    <row r="205" spans="1:9" ht="15">
      <c r="A205">
        <v>202</v>
      </c>
      <c r="B205" s="1">
        <v>45198</v>
      </c>
      <c r="C205">
        <v>26</v>
      </c>
      <c r="D205" t="str">
        <f>"5786"</f>
        <v>5786</v>
      </c>
      <c r="E205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205">
        <f>""</f>
      </c>
      <c r="G205">
        <f>""</f>
      </c>
      <c r="H205">
        <f>""</f>
      </c>
      <c r="I205" s="2">
        <v>3762863.37</v>
      </c>
    </row>
    <row r="206" spans="1:9" ht="15">
      <c r="A206">
        <v>204</v>
      </c>
      <c r="B206" s="1">
        <v>45198</v>
      </c>
      <c r="C206">
        <v>26</v>
      </c>
      <c r="D206" t="str">
        <f>"5787"</f>
        <v>5787</v>
      </c>
      <c r="E206" t="str">
        <f>"Расходы по амортизации транспортных средств"</f>
        <v>Расходы по амортизации транспортных средств</v>
      </c>
      <c r="F206">
        <f>""</f>
      </c>
      <c r="G206">
        <f>""</f>
      </c>
      <c r="H206">
        <f>""</f>
      </c>
      <c r="I206" s="2">
        <v>113178.44</v>
      </c>
    </row>
    <row r="207" spans="1:9" ht="15">
      <c r="A207">
        <v>205</v>
      </c>
      <c r="B207" s="1">
        <v>45198</v>
      </c>
      <c r="C207">
        <v>26</v>
      </c>
      <c r="D207" t="str">
        <f>"5788"</f>
        <v>5788</v>
      </c>
      <c r="E207" t="str">
        <f>"Расходы по амортизации нематериальных активов"</f>
        <v>Расходы по амортизации нематериальных активов</v>
      </c>
      <c r="F207">
        <f>""</f>
      </c>
      <c r="G207">
        <f>""</f>
      </c>
      <c r="H207">
        <f>""</f>
      </c>
      <c r="I207" s="2">
        <v>2276959.14</v>
      </c>
    </row>
    <row r="208" spans="1:9" ht="15">
      <c r="A208">
        <v>203</v>
      </c>
      <c r="B208" s="1">
        <v>45198</v>
      </c>
      <c r="C208">
        <v>26</v>
      </c>
      <c r="D208" t="str">
        <f>"5900"</f>
        <v>5900</v>
      </c>
      <c r="E208" t="str">
        <f>"Неустойка (штраф, пеня)"</f>
        <v>Неустойка (штраф, пеня)</v>
      </c>
      <c r="F208">
        <f>""</f>
      </c>
      <c r="G208">
        <f>""</f>
      </c>
      <c r="H208">
        <f>""</f>
      </c>
      <c r="I208" s="2">
        <v>8211000</v>
      </c>
    </row>
    <row r="209" spans="1:9" ht="15">
      <c r="A209">
        <v>207</v>
      </c>
      <c r="B209" s="1">
        <v>45198</v>
      </c>
      <c r="C209">
        <v>26</v>
      </c>
      <c r="D209" t="str">
        <f>"5921"</f>
        <v>5921</v>
      </c>
      <c r="E209" t="str">
        <f>"Прочие расходы от банковской деятельности"</f>
        <v>Прочие расходы от банковской деятельности</v>
      </c>
      <c r="F209">
        <f>""</f>
      </c>
      <c r="G209">
        <f>""</f>
      </c>
      <c r="H209">
        <f>""</f>
      </c>
      <c r="I209" s="2">
        <v>10089.9</v>
      </c>
    </row>
    <row r="210" spans="1:9" ht="15">
      <c r="A210">
        <v>219</v>
      </c>
      <c r="B210" s="1">
        <v>45198</v>
      </c>
      <c r="C210">
        <v>26</v>
      </c>
      <c r="D210" t="str">
        <f>"5922"</f>
        <v>5922</v>
      </c>
      <c r="E210" t="str">
        <f>"Прочие расходы от неосновной деятельности"</f>
        <v>Прочие расходы от неосновной деятельности</v>
      </c>
      <c r="F210">
        <f>""</f>
      </c>
      <c r="G210">
        <f>""</f>
      </c>
      <c r="H210">
        <f>""</f>
      </c>
      <c r="I210" s="2">
        <v>21275884.74</v>
      </c>
    </row>
    <row r="211" spans="1:9" ht="15">
      <c r="A211">
        <v>209</v>
      </c>
      <c r="B211" s="1">
        <v>45198</v>
      </c>
      <c r="C211">
        <v>26</v>
      </c>
      <c r="D211" t="str">
        <f>"5999"</f>
        <v>5999</v>
      </c>
      <c r="E211" t="str">
        <f>"Корпоративный подоходный налог"</f>
        <v>Корпоративный подоходный налог</v>
      </c>
      <c r="F211">
        <f>""</f>
      </c>
      <c r="G211">
        <f>""</f>
      </c>
      <c r="H211">
        <f>""</f>
      </c>
      <c r="I211" s="2">
        <v>1373013960</v>
      </c>
    </row>
    <row r="212" spans="1:9" ht="15">
      <c r="A212">
        <v>210</v>
      </c>
      <c r="B212" s="1">
        <v>45198</v>
      </c>
      <c r="C212">
        <v>26</v>
      </c>
      <c r="D212" t="str">
        <f>"6055"</f>
        <v>6055</v>
      </c>
      <c r="E212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212">
        <f>""</f>
      </c>
      <c r="G212">
        <f>""</f>
      </c>
      <c r="H212">
        <f>""</f>
      </c>
      <c r="I212" s="2">
        <v>15000000</v>
      </c>
    </row>
    <row r="213" spans="1:9" ht="15">
      <c r="A213">
        <v>212</v>
      </c>
      <c r="B213" s="1">
        <v>45198</v>
      </c>
      <c r="C213">
        <v>26</v>
      </c>
      <c r="D213" t="str">
        <f>"6075"</f>
        <v>6075</v>
      </c>
      <c r="E213" t="str">
        <f>"Возможные требования по принятым гарантиям"</f>
        <v>Возможные требования по принятым гарантиям</v>
      </c>
      <c r="F213">
        <f>""</f>
      </c>
      <c r="G213">
        <f>""</f>
      </c>
      <c r="H213">
        <f>""</f>
      </c>
      <c r="I213" s="2">
        <v>11707414028.31</v>
      </c>
    </row>
    <row r="214" spans="1:9" ht="15">
      <c r="A214">
        <v>208</v>
      </c>
      <c r="B214" s="1">
        <v>45198</v>
      </c>
      <c r="C214">
        <v>26</v>
      </c>
      <c r="D214" t="str">
        <f>"6405"</f>
        <v>6405</v>
      </c>
      <c r="E214" t="str">
        <f>"Условные требования по купле-продаже иностранной валюты"</f>
        <v>Условные требования по купле-продаже иностранной валюты</v>
      </c>
      <c r="F214">
        <f>""</f>
      </c>
      <c r="G214">
        <f>""</f>
      </c>
      <c r="H214">
        <f>""</f>
      </c>
      <c r="I214" s="2">
        <v>2512875000</v>
      </c>
    </row>
    <row r="215" spans="1:9" ht="15">
      <c r="A215">
        <v>211</v>
      </c>
      <c r="B215" s="1">
        <v>45198</v>
      </c>
      <c r="C215">
        <v>26</v>
      </c>
      <c r="D215" t="str">
        <f>"6555"</f>
        <v>6555</v>
      </c>
      <c r="E215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215">
        <f>""</f>
      </c>
      <c r="G215">
        <f>""</f>
      </c>
      <c r="H215">
        <f>""</f>
      </c>
      <c r="I215" s="2">
        <v>15000000</v>
      </c>
    </row>
    <row r="216" spans="1:9" ht="15">
      <c r="A216">
        <v>214</v>
      </c>
      <c r="B216" s="1">
        <v>45198</v>
      </c>
      <c r="C216">
        <v>26</v>
      </c>
      <c r="D216" t="str">
        <f>"6575"</f>
        <v>6575</v>
      </c>
      <c r="E216" t="str">
        <f>"Возможное уменьшение требований по принятым гарантиям"</f>
        <v>Возможное уменьшение требований по принятым гарантиям</v>
      </c>
      <c r="F216">
        <f>""</f>
      </c>
      <c r="G216">
        <f>""</f>
      </c>
      <c r="H216">
        <f>""</f>
      </c>
      <c r="I216" s="2">
        <v>11707414028.31</v>
      </c>
    </row>
    <row r="217" spans="1:9" ht="15">
      <c r="A217">
        <v>213</v>
      </c>
      <c r="B217" s="1">
        <v>45198</v>
      </c>
      <c r="C217">
        <v>26</v>
      </c>
      <c r="D217" t="str">
        <f>"6905"</f>
        <v>6905</v>
      </c>
      <c r="E217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217">
        <f>""</f>
      </c>
      <c r="G217">
        <f>""</f>
      </c>
      <c r="H217">
        <f>""</f>
      </c>
      <c r="I217" s="2">
        <v>2514691000</v>
      </c>
    </row>
    <row r="218" spans="1:9" ht="15">
      <c r="A218">
        <v>215</v>
      </c>
      <c r="B218" s="1">
        <v>45198</v>
      </c>
      <c r="C218">
        <v>26</v>
      </c>
      <c r="D218" t="str">
        <f>"6999"</f>
        <v>6999</v>
      </c>
      <c r="E218" t="str">
        <f>"Позиция по сделкам с иностранной валютой"</f>
        <v>Позиция по сделкам с иностранной валютой</v>
      </c>
      <c r="F218">
        <f>""</f>
      </c>
      <c r="G218">
        <f>""</f>
      </c>
      <c r="H218">
        <f>""</f>
      </c>
      <c r="I218" s="2">
        <v>-1816000</v>
      </c>
    </row>
    <row r="219" spans="1:9" ht="15">
      <c r="A219">
        <v>216</v>
      </c>
      <c r="B219" s="1">
        <v>45198</v>
      </c>
      <c r="C219">
        <v>26</v>
      </c>
      <c r="D219" t="str">
        <f>"7250"</f>
        <v>7250</v>
      </c>
      <c r="E219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219">
        <f>""</f>
      </c>
      <c r="G219">
        <f>""</f>
      </c>
      <c r="H219">
        <f>""</f>
      </c>
      <c r="I219" s="2">
        <v>58899937853</v>
      </c>
    </row>
    <row r="220" spans="1:9" ht="15">
      <c r="A220">
        <v>217</v>
      </c>
      <c r="B220" s="1">
        <v>45198</v>
      </c>
      <c r="C220">
        <v>26</v>
      </c>
      <c r="D220" t="str">
        <f>"7303"</f>
        <v>7303</v>
      </c>
      <c r="E220" t="str">
        <f>"Платежные документы, не оплаченные в срок"</f>
        <v>Платежные документы, не оплаченные в срок</v>
      </c>
      <c r="F220">
        <f>""</f>
      </c>
      <c r="G220">
        <f>""</f>
      </c>
      <c r="H220">
        <f>""</f>
      </c>
      <c r="I220" s="2">
        <v>361473355.27</v>
      </c>
    </row>
    <row r="221" spans="1:9" ht="15">
      <c r="A221">
        <v>218</v>
      </c>
      <c r="B221" s="1">
        <v>45198</v>
      </c>
      <c r="C221">
        <v>26</v>
      </c>
      <c r="D221" t="str">
        <f>"7339"</f>
        <v>7339</v>
      </c>
      <c r="E221" t="str">
        <f>"Разные ценности и документы"</f>
        <v>Разные ценности и документы</v>
      </c>
      <c r="F221">
        <f>""</f>
      </c>
      <c r="G221">
        <f>""</f>
      </c>
      <c r="H221">
        <f>""</f>
      </c>
      <c r="I221" s="2">
        <v>5903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Saltanat Amirzhanova</dc:creator>
  <cp:keywords/>
  <dc:description/>
  <cp:lastModifiedBy>Saltanat Amirzhanova</cp:lastModifiedBy>
  <dcterms:created xsi:type="dcterms:W3CDTF">2023-10-02T06:22:40Z</dcterms:created>
  <dcterms:modified xsi:type="dcterms:W3CDTF">2023-10-05T05:39:04Z</dcterms:modified>
  <cp:category/>
  <cp:version/>
  <cp:contentType/>
  <cp:contentStatus/>
</cp:coreProperties>
</file>