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antonova\Desktop\Антонова\Отчеты на KASE\на 01072021\Для Биржи\"/>
    </mc:Choice>
  </mc:AlternateContent>
  <xr:revisionPtr revIDLastSave="0" documentId="13_ncr:1_{48C56932-2830-4FF8-A474-465F40C97414}" xr6:coauthVersionLast="47" xr6:coauthVersionMax="47" xr10:uidLastSave="{00000000-0000-0000-0000-000000000000}"/>
  <bookViews>
    <workbookView xWindow="-120" yWindow="-120" windowWidth="29040" windowHeight="15840" activeTab="1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externalReferences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D32" i="4"/>
  <c r="F33" i="1" l="1"/>
  <c r="E33" i="1"/>
  <c r="D33" i="1"/>
  <c r="C33" i="1"/>
  <c r="F29" i="1"/>
  <c r="E29" i="1"/>
  <c r="D29" i="1"/>
  <c r="C29" i="1"/>
  <c r="F25" i="1"/>
  <c r="E25" i="1"/>
  <c r="D25" i="1"/>
  <c r="C25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F23" i="1" s="1"/>
  <c r="E13" i="1"/>
  <c r="E23" i="1" s="1"/>
  <c r="D13" i="1"/>
  <c r="C13" i="1"/>
  <c r="C23" i="1" s="1"/>
  <c r="C27" i="1" s="1"/>
  <c r="C31" i="1" s="1"/>
  <c r="F9" i="1"/>
  <c r="E9" i="1"/>
  <c r="D9" i="1"/>
  <c r="C9" i="1"/>
  <c r="F8" i="1"/>
  <c r="F11" i="1" s="1"/>
  <c r="E8" i="1"/>
  <c r="E11" i="1" s="1"/>
  <c r="D8" i="1"/>
  <c r="D11" i="1" s="1"/>
  <c r="C8" i="1"/>
  <c r="C11" i="1" s="1"/>
  <c r="D23" i="1" l="1"/>
  <c r="D27" i="1" s="1"/>
  <c r="D31" i="1" s="1"/>
  <c r="E27" i="1"/>
  <c r="E31" i="1" s="1"/>
  <c r="F27" i="1"/>
  <c r="F31" i="1" s="1"/>
  <c r="D56" i="4" l="1"/>
  <c r="D44" i="4"/>
  <c r="D24" i="4"/>
  <c r="D35" i="4" s="1"/>
  <c r="D38" i="4" s="1"/>
  <c r="L24" i="3"/>
  <c r="L22" i="3"/>
  <c r="L21" i="3"/>
  <c r="L20" i="3"/>
  <c r="L19" i="3"/>
  <c r="L17" i="3"/>
  <c r="H24" i="3"/>
  <c r="J24" i="3"/>
  <c r="D24" i="3"/>
  <c r="F24" i="3"/>
  <c r="J14" i="3"/>
  <c r="D14" i="3"/>
  <c r="F14" i="3"/>
  <c r="H14" i="3"/>
  <c r="L12" i="3"/>
  <c r="L11" i="3"/>
  <c r="L10" i="3"/>
  <c r="L8" i="3"/>
  <c r="D42" i="2"/>
  <c r="C42" i="2"/>
  <c r="D40" i="2"/>
  <c r="C40" i="2"/>
  <c r="D32" i="2"/>
  <c r="C32" i="2"/>
  <c r="C22" i="2"/>
  <c r="D22" i="2"/>
  <c r="C62" i="4"/>
  <c r="C59" i="4"/>
  <c r="C54" i="4"/>
  <c r="C53" i="4"/>
  <c r="C52" i="4"/>
  <c r="C42" i="4"/>
  <c r="C41" i="4"/>
  <c r="C36" i="4"/>
  <c r="C34" i="4"/>
  <c r="C33" i="4"/>
  <c r="C32" i="4"/>
  <c r="C31" i="4"/>
  <c r="C30" i="4"/>
  <c r="C29" i="4"/>
  <c r="C28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D58" i="4" l="1"/>
  <c r="D60" i="4" s="1"/>
  <c r="L14" i="3"/>
  <c r="C56" i="4"/>
  <c r="C44" i="4"/>
  <c r="C24" i="4"/>
  <c r="C35" i="4" s="1"/>
  <c r="C38" i="4" l="1"/>
  <c r="C58" i="4" s="1"/>
  <c r="C60" i="4" s="1"/>
  <c r="C63" i="4" s="1"/>
  <c r="C65" i="4" s="1"/>
</calcChain>
</file>

<file path=xl/sharedStrings.xml><?xml version="1.0" encoding="utf-8"?>
<sst xmlns="http://schemas.openxmlformats.org/spreadsheetml/2006/main" count="164" uniqueCount="118">
  <si>
    <t>Акционерное Общество «Дочерняя Организация</t>
  </si>
  <si>
    <t>Народного Банка Казахстана «Halyk Finance»</t>
  </si>
  <si>
    <t>Отчет о прибылях и убытках
за первое полугодие 2021 года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</si>
  <si>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</si>
  <si>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</si>
  <si>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</si>
  <si>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</si>
  <si>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</si>
  <si>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</si>
  <si>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</si>
  <si>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</si>
  <si>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</si>
  <si>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</si>
  <si>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</si>
  <si>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</si>
  <si>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</si>
  <si>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</si>
  <si>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</si>
  <si>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</si>
  <si>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</si>
  <si>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</si>
  <si>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</si>
  <si>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</si>
  <si>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Аюханова М.Е.</t>
  </si>
  <si>
    <t>Сейдахметова Б.Е.</t>
  </si>
  <si>
    <t>Член Правления - заместитель председателя Правления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</si>
  <si>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</si>
  <si>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</si>
  <si>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</si>
  <si>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</si>
  <si>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</si>
  <si>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</si>
  <si>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</si>
  <si>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</si>
  <si>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</si>
  <si>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</si>
  <si>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</si>
  <si>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</si>
  <si>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</si>
  <si>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</si>
  <si>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</si>
  <si>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</si>
  <si>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</si>
  <si>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</si>
  <si>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</si>
  <si>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</si>
  <si>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</si>
  <si>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</si>
  <si>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</si>
  <si>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</si>
  <si>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</si>
  <si>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</si>
  <si>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</si>
  <si>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</si>
  <si>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</si>
  <si>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Отчет об изменениях в капитале
за первое полугодие 2021 года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</si>
  <si>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</si>
  <si>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</si>
  <si>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</si>
  <si>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</si>
  <si>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</si>
  <si>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</si>
  <si>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</si>
  <si>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Конвертация привилегированных акций в простые</t>
  </si>
  <si>
    <t>Дивиденды объявленные и оплаченные</t>
  </si>
  <si>
    <t>Дивиденды объявленные</t>
  </si>
  <si>
    <t>30 июня</t>
  </si>
  <si>
    <t xml:space="preserve">30 июня </t>
  </si>
  <si>
    <t>2021 года</t>
  </si>
  <si>
    <t>2020 года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</si>
  <si>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</si>
  <si>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</si>
  <si>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</si>
  <si>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</si>
  <si>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</si>
  <si>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</si>
  <si>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</si>
  <si>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</si>
  <si>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</si>
  <si>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</si>
  <si>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</si>
  <si>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</si>
  <si>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</si>
  <si>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</si>
  <si>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</si>
  <si>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</si>
  <si>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</si>
  <si>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</si>
  <si>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</si>
  <si>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</si>
  <si>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</si>
  <si>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</si>
  <si>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</si>
  <si>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</si>
  <si>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</si>
  <si>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</si>
  <si>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</si>
  <si>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</si>
  <si>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</si>
  <si>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</si>
  <si>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</si>
  <si>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</si>
  <si>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</si>
  <si>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</si>
  <si>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</si>
  <si>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</si>
  <si>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закончившийся</t>
  </si>
  <si>
    <t>Отчет о движении денежных средств
за первое полугодие 2021 года</t>
  </si>
  <si>
    <t>30 июня 
2021 года</t>
  </si>
  <si>
    <t>Период, закончившийся 30 июня  2021 года</t>
  </si>
  <si>
    <t>Период, закончившийся</t>
  </si>
  <si>
    <t>Отчет о финансовом положении на 30 июня 2021 года</t>
  </si>
  <si>
    <t>31 декабря
2020 года</t>
  </si>
  <si>
    <t>Период, закончившийся 30 июня 2020 года</t>
  </si>
  <si>
    <t>Период,</t>
  </si>
  <si>
    <t>3 месяца, закончившихся 30 июня  2021 года</t>
  </si>
  <si>
    <t>3 месяца, закончившихся 30 июня 2020 года</t>
  </si>
  <si>
    <t>Прибыль на акцию,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</si>
</sst>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4" fillId="0" borderId="0"/>
    <xf numFmtId="165" fontId="4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1" xfId="2" applyFont="1" applyBorder="1" applyAlignment="1">
      <alignment vertical="center"/>
    </xf>
    <xf numFmtId="14" fontId="10" fillId="0" borderId="1" xfId="1" applyNumberFormat="1" applyFont="1" applyBorder="1" applyAlignment="1">
      <alignment horizontal="center" wrapText="1"/>
    </xf>
    <xf numFmtId="14" fontId="10" fillId="0" borderId="1" xfId="1" applyNumberFormat="1" applyFont="1" applyBorder="1" applyAlignment="1">
      <alignment horizontal="right" wrapText="1"/>
    </xf>
    <xf numFmtId="0" fontId="11" fillId="0" borderId="0" xfId="2" applyFont="1" applyAlignment="1">
      <alignment vertical="center"/>
    </xf>
    <xf numFmtId="164" fontId="12" fillId="0" borderId="0" xfId="1" applyNumberFormat="1" applyFont="1"/>
    <xf numFmtId="0" fontId="13" fillId="0" borderId="1" xfId="2" applyFont="1" applyBorder="1" applyAlignment="1">
      <alignment vertical="center"/>
    </xf>
    <xf numFmtId="164" fontId="12" fillId="0" borderId="1" xfId="1" applyNumberFormat="1" applyFont="1" applyBorder="1"/>
    <xf numFmtId="0" fontId="13" fillId="0" borderId="0" xfId="2" applyFont="1" applyAlignment="1">
      <alignment vertical="center"/>
    </xf>
    <xf numFmtId="0" fontId="12" fillId="0" borderId="0" xfId="1" applyFont="1"/>
    <xf numFmtId="0" fontId="14" fillId="0" borderId="1" xfId="2" applyFont="1" applyBorder="1" applyAlignment="1">
      <alignment vertical="center"/>
    </xf>
    <xf numFmtId="164" fontId="10" fillId="0" borderId="1" xfId="1" applyNumberFormat="1" applyFont="1" applyBorder="1"/>
    <xf numFmtId="0" fontId="13" fillId="0" borderId="0" xfId="2" applyFont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2" fillId="0" borderId="0" xfId="1" applyFont="1" applyAlignment="1">
      <alignment wrapText="1"/>
    </xf>
    <xf numFmtId="0" fontId="14" fillId="0" borderId="1" xfId="2" applyFont="1" applyBorder="1" applyAlignment="1">
      <alignment vertical="center" wrapText="1"/>
    </xf>
    <xf numFmtId="0" fontId="13" fillId="0" borderId="0" xfId="2" applyFont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vertical="center"/>
    </xf>
    <xf numFmtId="0" fontId="10" fillId="0" borderId="2" xfId="0" applyFont="1" applyBorder="1"/>
    <xf numFmtId="164" fontId="12" fillId="0" borderId="2" xfId="1" applyNumberFormat="1" applyFont="1" applyBorder="1"/>
    <xf numFmtId="0" fontId="15" fillId="0" borderId="0" xfId="0" applyFont="1"/>
    <xf numFmtId="164" fontId="3" fillId="0" borderId="0" xfId="1" applyNumberFormat="1" applyFont="1"/>
    <xf numFmtId="0" fontId="10" fillId="0" borderId="0" xfId="0" applyFont="1"/>
    <xf numFmtId="164" fontId="16" fillId="0" borderId="0" xfId="1" applyNumberFormat="1" applyFont="1"/>
    <xf numFmtId="0" fontId="16" fillId="0" borderId="0" xfId="1" applyFont="1"/>
    <xf numFmtId="0" fontId="17" fillId="0" borderId="0" xfId="0" applyFont="1"/>
    <xf numFmtId="0" fontId="17" fillId="0" borderId="1" xfId="0" applyFont="1" applyBorder="1"/>
    <xf numFmtId="0" fontId="10" fillId="0" borderId="1" xfId="1" applyFont="1" applyBorder="1"/>
    <xf numFmtId="0" fontId="3" fillId="0" borderId="1" xfId="1" applyFont="1" applyBorder="1"/>
    <xf numFmtId="0" fontId="10" fillId="0" borderId="0" xfId="1" applyFont="1"/>
    <xf numFmtId="0" fontId="10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8" fillId="0" borderId="0" xfId="0" applyFont="1" applyAlignment="1">
      <alignment vertical="center"/>
    </xf>
    <xf numFmtId="16" fontId="19" fillId="0" borderId="0" xfId="1" applyNumberFormat="1" applyFont="1" applyAlignment="1">
      <alignment vertical="center"/>
    </xf>
    <xf numFmtId="0" fontId="20" fillId="0" borderId="0" xfId="1" applyFont="1" applyAlignment="1">
      <alignment horizontal="center"/>
    </xf>
    <xf numFmtId="16" fontId="19" fillId="0" borderId="1" xfId="1" applyNumberFormat="1" applyFont="1" applyBorder="1" applyAlignment="1">
      <alignment vertical="center"/>
    </xf>
    <xf numFmtId="0" fontId="12" fillId="0" borderId="1" xfId="1" applyFont="1" applyBorder="1"/>
    <xf numFmtId="0" fontId="14" fillId="0" borderId="0" xfId="1" applyFont="1" applyAlignment="1">
      <alignment vertical="center"/>
    </xf>
    <xf numFmtId="0" fontId="11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3" fillId="0" borderId="0" xfId="1" applyFont="1" applyAlignment="1">
      <alignment wrapText="1"/>
    </xf>
    <xf numFmtId="0" fontId="2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3" fillId="0" borderId="0" xfId="1" applyFont="1"/>
    <xf numFmtId="164" fontId="23" fillId="0" borderId="0" xfId="3" applyNumberFormat="1" applyFont="1"/>
    <xf numFmtId="0" fontId="25" fillId="0" borderId="0" xfId="1" applyFont="1"/>
    <xf numFmtId="0" fontId="10" fillId="0" borderId="1" xfId="0" applyFont="1" applyBorder="1"/>
    <xf numFmtId="0" fontId="25" fillId="0" borderId="1" xfId="1" applyFont="1" applyBorder="1"/>
    <xf numFmtId="0" fontId="10" fillId="0" borderId="0" xfId="1" applyFont="1" applyAlignment="1">
      <alignment wrapText="1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14" fontId="14" fillId="0" borderId="0" xfId="0" applyNumberFormat="1" applyFont="1"/>
    <xf numFmtId="164" fontId="1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 wrapText="1"/>
    </xf>
    <xf numFmtId="16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vertical="center"/>
    </xf>
    <xf numFmtId="0" fontId="27" fillId="2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3" fillId="2" borderId="1" xfId="0" applyFont="1" applyFill="1" applyBorder="1"/>
    <xf numFmtId="0" fontId="12" fillId="0" borderId="1" xfId="0" applyFont="1" applyBorder="1"/>
    <xf numFmtId="166" fontId="26" fillId="2" borderId="1" xfId="4" applyNumberFormat="1" applyFont="1" applyFill="1" applyBorder="1" applyAlignment="1">
      <alignment horizontal="right" vertical="center" wrapText="1"/>
    </xf>
    <xf numFmtId="166" fontId="26" fillId="0" borderId="1" xfId="4" applyNumberFormat="1" applyFont="1" applyFill="1" applyBorder="1" applyAlignment="1">
      <alignment horizontal="right" vertical="center" wrapText="1"/>
    </xf>
    <xf numFmtId="14" fontId="14" fillId="0" borderId="2" xfId="0" applyNumberFormat="1" applyFont="1" applyBorder="1"/>
    <xf numFmtId="0" fontId="12" fillId="0" borderId="2" xfId="0" applyFont="1" applyBorder="1"/>
    <xf numFmtId="164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2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30" fillId="0" borderId="0" xfId="0" applyFont="1"/>
    <xf numFmtId="0" fontId="28" fillId="0" borderId="0" xfId="0" applyFont="1"/>
    <xf numFmtId="3" fontId="0" fillId="0" borderId="0" xfId="0" applyNumberFormat="1"/>
    <xf numFmtId="3" fontId="13" fillId="0" borderId="0" xfId="0" applyNumberFormat="1" applyFont="1" applyAlignment="1">
      <alignment vertical="center"/>
    </xf>
    <xf numFmtId="0" fontId="32" fillId="0" borderId="0" xfId="1" applyFont="1"/>
    <xf numFmtId="1" fontId="12" fillId="0" borderId="2" xfId="1" applyNumberFormat="1" applyFont="1" applyBorder="1"/>
    <xf numFmtId="0" fontId="0" fillId="0" borderId="0" xfId="0" applyFill="1"/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wrapText="1" indent="1"/>
    </xf>
    <xf numFmtId="3" fontId="13" fillId="0" borderId="2" xfId="0" applyNumberFormat="1" applyFont="1" applyFill="1" applyBorder="1" applyAlignment="1">
      <alignment horizontal="right" vertical="center" wrapText="1" indent="2"/>
    </xf>
    <xf numFmtId="3" fontId="13" fillId="0" borderId="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0" fontId="31" fillId="0" borderId="0" xfId="0" applyFont="1" applyFill="1"/>
    <xf numFmtId="0" fontId="25" fillId="0" borderId="0" xfId="1" applyFont="1" applyFill="1"/>
    <xf numFmtId="0" fontId="25" fillId="0" borderId="1" xfId="1" applyFont="1" applyFill="1" applyBorder="1"/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2" fillId="0" borderId="0" xfId="1" applyNumberFormat="1" applyFont="1" applyFill="1"/>
    <xf numFmtId="164" fontId="12" fillId="0" borderId="1" xfId="1" applyNumberFormat="1" applyFont="1" applyFill="1" applyBorder="1"/>
    <xf numFmtId="164" fontId="10" fillId="0" borderId="1" xfId="1" applyNumberFormat="1" applyFont="1" applyFill="1" applyBorder="1"/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%20in%20excel%206%20&#1084;&#1077;&#1089;2021%20&#1085;&#1072;%20&#1041;&#1080;&#1088;&#1078;&#1091;%20&#1088;&#1072;&#1073;&#1086;&#1095;&#1080;&#1081;%20&#1092;&#1072;&#1081;&#1083;%2026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8200.1%20FS%20in%20excel%202020_recovered%2022012021(05-02-2021%203.10.18%20P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 H1 2021"/>
      <sheetName val="ОСВ 2020"/>
      <sheetName val="Ф2"/>
      <sheetName val="5610 2 кв 2021 и 2020"/>
      <sheetName val="5610 H1 2021"/>
      <sheetName val="5610 2020"/>
      <sheetName val="IS"/>
      <sheetName val="BS"/>
      <sheetName val="1030"/>
      <sheetName val="TB_12mo_2019"/>
      <sheetName val="5610"/>
      <sheetName val="Equity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Портфель 6м2021"/>
      <sheetName val="Портфель ЦБ 2020"/>
      <sheetName val="кредиты 2020"/>
      <sheetName val="репо 2020"/>
    </sheetNames>
    <sheetDataSet>
      <sheetData sheetId="0" refreshError="1"/>
      <sheetData sheetId="1" refreshError="1"/>
      <sheetData sheetId="2" refreshError="1"/>
      <sheetData sheetId="3">
        <row r="12">
          <cell r="E12">
            <v>731512017.42999995</v>
          </cell>
          <cell r="K12">
            <v>558138749.37</v>
          </cell>
        </row>
        <row r="13">
          <cell r="E13">
            <v>59335784.68</v>
          </cell>
          <cell r="K13">
            <v>160173229.41999999</v>
          </cell>
        </row>
        <row r="14">
          <cell r="E14">
            <v>2667307.94</v>
          </cell>
          <cell r="K14">
            <v>935329.37</v>
          </cell>
        </row>
        <row r="15">
          <cell r="E15">
            <v>110023741.09</v>
          </cell>
          <cell r="K15">
            <v>9157829.5299999993</v>
          </cell>
        </row>
        <row r="16">
          <cell r="E16">
            <v>176440876.66</v>
          </cell>
          <cell r="K16">
            <v>247813024.31</v>
          </cell>
        </row>
        <row r="17">
          <cell r="E17">
            <v>427396785.22000003</v>
          </cell>
          <cell r="K17">
            <v>105865554.14</v>
          </cell>
        </row>
        <row r="18">
          <cell r="K18">
            <v>255136083.74000001</v>
          </cell>
        </row>
        <row r="19">
          <cell r="E19">
            <v>3853104090.02</v>
          </cell>
        </row>
        <row r="20">
          <cell r="K20">
            <v>12313440665.309999</v>
          </cell>
        </row>
        <row r="21">
          <cell r="K21">
            <v>361395171.07999998</v>
          </cell>
        </row>
        <row r="22">
          <cell r="E22">
            <v>868783.83</v>
          </cell>
        </row>
        <row r="23">
          <cell r="E23">
            <v>9034451.9100000001</v>
          </cell>
        </row>
        <row r="24">
          <cell r="E24">
            <v>216.81</v>
          </cell>
          <cell r="K24">
            <v>8363279.8399999999</v>
          </cell>
        </row>
        <row r="25">
          <cell r="E25">
            <v>14121</v>
          </cell>
          <cell r="K25">
            <v>715171.27</v>
          </cell>
        </row>
        <row r="26">
          <cell r="E26">
            <v>2061790439.5699999</v>
          </cell>
          <cell r="K26">
            <v>692041.7</v>
          </cell>
        </row>
        <row r="27">
          <cell r="K27">
            <v>4431.37</v>
          </cell>
        </row>
        <row r="28">
          <cell r="E28">
            <v>358035.71</v>
          </cell>
          <cell r="K28">
            <v>1877.76</v>
          </cell>
        </row>
        <row r="29">
          <cell r="K29">
            <v>3014574767.6700001</v>
          </cell>
        </row>
        <row r="30">
          <cell r="E30">
            <v>1387702.58</v>
          </cell>
        </row>
        <row r="31">
          <cell r="E31">
            <v>3956358.63</v>
          </cell>
          <cell r="K31">
            <v>133928.57999999999</v>
          </cell>
        </row>
        <row r="32">
          <cell r="E32">
            <v>145850</v>
          </cell>
        </row>
        <row r="34">
          <cell r="E34">
            <v>0</v>
          </cell>
          <cell r="K34">
            <v>2457360.3199999998</v>
          </cell>
        </row>
        <row r="35">
          <cell r="E35">
            <v>54570218.030000001</v>
          </cell>
          <cell r="K35">
            <v>198461595.16999999</v>
          </cell>
        </row>
        <row r="36">
          <cell r="J36">
            <v>266853161.05000001</v>
          </cell>
        </row>
        <row r="37">
          <cell r="E37">
            <v>206128000</v>
          </cell>
        </row>
        <row r="38">
          <cell r="D38">
            <v>513094403.10000002</v>
          </cell>
        </row>
        <row r="46">
          <cell r="J46">
            <v>3822106.98</v>
          </cell>
        </row>
        <row r="47">
          <cell r="D47">
            <v>22879674.43</v>
          </cell>
          <cell r="J47">
            <v>108545455.05</v>
          </cell>
        </row>
        <row r="48">
          <cell r="D48">
            <v>246038408.97</v>
          </cell>
          <cell r="J48">
            <v>503131688.20999998</v>
          </cell>
        </row>
        <row r="49">
          <cell r="D49">
            <v>18744109.649999999</v>
          </cell>
        </row>
        <row r="50">
          <cell r="J50">
            <v>5367333854.0299997</v>
          </cell>
        </row>
        <row r="51">
          <cell r="D51">
            <v>22106.22</v>
          </cell>
        </row>
        <row r="52">
          <cell r="D52">
            <v>1638895697.8599999</v>
          </cell>
        </row>
        <row r="53">
          <cell r="J53">
            <v>25462178.390000001</v>
          </cell>
        </row>
        <row r="54">
          <cell r="J54">
            <v>19824374.93</v>
          </cell>
        </row>
        <row r="55">
          <cell r="D55">
            <v>15533394.710000001</v>
          </cell>
          <cell r="J55">
            <v>1877.76</v>
          </cell>
        </row>
        <row r="56">
          <cell r="D56">
            <v>12627842.369999999</v>
          </cell>
          <cell r="J56">
            <v>32232.1</v>
          </cell>
        </row>
        <row r="57">
          <cell r="D57">
            <v>143.94999999999999</v>
          </cell>
        </row>
        <row r="58">
          <cell r="D58">
            <v>11147.18</v>
          </cell>
          <cell r="J58">
            <v>121607.28</v>
          </cell>
        </row>
        <row r="59">
          <cell r="J59">
            <v>8867996689.5300007</v>
          </cell>
        </row>
        <row r="60">
          <cell r="D60">
            <v>845059.11</v>
          </cell>
          <cell r="J60">
            <v>2915626.44</v>
          </cell>
        </row>
        <row r="61">
          <cell r="D61">
            <v>3606448828.5599999</v>
          </cell>
        </row>
        <row r="62">
          <cell r="J62">
            <v>18625188.859999999</v>
          </cell>
        </row>
        <row r="63">
          <cell r="D63">
            <v>0</v>
          </cell>
          <cell r="J63">
            <v>243713320.05000001</v>
          </cell>
        </row>
        <row r="64">
          <cell r="D64">
            <v>82320168.599999994</v>
          </cell>
          <cell r="J64">
            <v>1363795.77</v>
          </cell>
        </row>
        <row r="65">
          <cell r="D65">
            <v>1936154.36</v>
          </cell>
          <cell r="J65">
            <v>7462.88</v>
          </cell>
        </row>
        <row r="66">
          <cell r="D66">
            <v>7500</v>
          </cell>
          <cell r="J66">
            <v>46174.28</v>
          </cell>
        </row>
        <row r="67">
          <cell r="D67">
            <v>3609680.37</v>
          </cell>
          <cell r="J67">
            <v>946214.89</v>
          </cell>
        </row>
        <row r="68">
          <cell r="D68">
            <v>15819326.27</v>
          </cell>
          <cell r="J68">
            <v>16528278.699999999</v>
          </cell>
        </row>
        <row r="69">
          <cell r="D69">
            <v>86165451.840000004</v>
          </cell>
          <cell r="J69">
            <v>321303.77</v>
          </cell>
        </row>
        <row r="70">
          <cell r="D70">
            <v>2675990.23</v>
          </cell>
        </row>
        <row r="71">
          <cell r="J71">
            <v>1963846.91</v>
          </cell>
        </row>
        <row r="72">
          <cell r="D72">
            <v>243312000</v>
          </cell>
        </row>
        <row r="74">
          <cell r="D74">
            <v>104413150.88</v>
          </cell>
        </row>
      </sheetData>
      <sheetData sheetId="4">
        <row r="12">
          <cell r="E12">
            <v>1459705284.0999999</v>
          </cell>
          <cell r="K12">
            <v>1120948569.95</v>
          </cell>
        </row>
        <row r="15">
          <cell r="E15">
            <v>117622619.73</v>
          </cell>
          <cell r="K15">
            <v>313442493.58999997</v>
          </cell>
        </row>
        <row r="18">
          <cell r="E18">
            <v>10060267.140000001</v>
          </cell>
          <cell r="K18">
            <v>7242231</v>
          </cell>
        </row>
        <row r="19">
          <cell r="E19">
            <v>332196167.12</v>
          </cell>
          <cell r="K19">
            <v>87053229.599999994</v>
          </cell>
        </row>
        <row r="20">
          <cell r="K20">
            <v>358584927.97000003</v>
          </cell>
        </row>
        <row r="25">
          <cell r="E25">
            <v>297700091.04000002</v>
          </cell>
        </row>
        <row r="26">
          <cell r="E26">
            <v>428464844.24000001</v>
          </cell>
          <cell r="K26">
            <v>194820519.78999999</v>
          </cell>
        </row>
        <row r="27">
          <cell r="K27">
            <v>288215466.55000001</v>
          </cell>
        </row>
        <row r="28">
          <cell r="E28">
            <v>9325672567.5900002</v>
          </cell>
        </row>
        <row r="29">
          <cell r="K29">
            <v>23122434262.669998</v>
          </cell>
        </row>
        <row r="31">
          <cell r="E31">
            <v>12078683.24</v>
          </cell>
        </row>
        <row r="32">
          <cell r="K32">
            <v>370144873.91000003</v>
          </cell>
        </row>
        <row r="33">
          <cell r="E33">
            <v>516730.32</v>
          </cell>
          <cell r="K33">
            <v>9854.5499999999993</v>
          </cell>
        </row>
        <row r="35">
          <cell r="E35">
            <v>1033516.72</v>
          </cell>
        </row>
        <row r="36">
          <cell r="E36">
            <v>90403015.109999999</v>
          </cell>
          <cell r="K36">
            <v>9747455.6699999999</v>
          </cell>
        </row>
        <row r="37">
          <cell r="E37">
            <v>5605.17</v>
          </cell>
          <cell r="K37">
            <v>20327132.530000001</v>
          </cell>
        </row>
        <row r="38">
          <cell r="E38">
            <v>39931.9</v>
          </cell>
          <cell r="K38">
            <v>18956247.539999999</v>
          </cell>
        </row>
        <row r="39">
          <cell r="E39">
            <v>3963464028.9499998</v>
          </cell>
          <cell r="K39">
            <v>54146.38</v>
          </cell>
        </row>
        <row r="40">
          <cell r="K40">
            <v>4549.54</v>
          </cell>
        </row>
        <row r="41">
          <cell r="E41">
            <v>652678.55000000005</v>
          </cell>
          <cell r="K41">
            <v>8981162210.6599998</v>
          </cell>
        </row>
        <row r="43">
          <cell r="E43">
            <v>1651262.82</v>
          </cell>
          <cell r="K43">
            <v>267857.15999999997</v>
          </cell>
        </row>
        <row r="44">
          <cell r="E44">
            <v>3956358.63</v>
          </cell>
        </row>
        <row r="45">
          <cell r="E45">
            <v>618172.88</v>
          </cell>
          <cell r="K45">
            <v>43527550</v>
          </cell>
        </row>
        <row r="46">
          <cell r="K46">
            <v>2255864.84</v>
          </cell>
        </row>
        <row r="47">
          <cell r="E47">
            <v>0</v>
          </cell>
          <cell r="K47">
            <v>2115364.9700000002</v>
          </cell>
        </row>
        <row r="48">
          <cell r="E48">
            <v>86732804.260000005</v>
          </cell>
        </row>
        <row r="49">
          <cell r="K49">
            <v>2457360.3199999998</v>
          </cell>
        </row>
        <row r="50">
          <cell r="E50">
            <v>335884000</v>
          </cell>
          <cell r="K50">
            <v>345303735.22000003</v>
          </cell>
        </row>
        <row r="51">
          <cell r="D51">
            <v>990650561.23000002</v>
          </cell>
          <cell r="J51">
            <v>475845426.49000001</v>
          </cell>
        </row>
        <row r="60">
          <cell r="D60">
            <v>41487793.390000001</v>
          </cell>
        </row>
        <row r="61">
          <cell r="J61">
            <v>7792514.1600000001</v>
          </cell>
        </row>
        <row r="63">
          <cell r="D63">
            <v>502904406.95999998</v>
          </cell>
        </row>
        <row r="64">
          <cell r="D64">
            <v>60779033.829999998</v>
          </cell>
          <cell r="J64">
            <v>343991614.54000002</v>
          </cell>
        </row>
        <row r="65">
          <cell r="J65">
            <v>902874410.45000005</v>
          </cell>
        </row>
        <row r="66">
          <cell r="D66">
            <v>472459.8</v>
          </cell>
        </row>
        <row r="67">
          <cell r="D67">
            <v>3484195371.5999999</v>
          </cell>
          <cell r="J67">
            <v>45596.79</v>
          </cell>
        </row>
        <row r="68">
          <cell r="J68">
            <v>7654171659.9099998</v>
          </cell>
        </row>
        <row r="70">
          <cell r="D70">
            <v>30974590.239999998</v>
          </cell>
        </row>
        <row r="71">
          <cell r="D71">
            <v>36707888.57</v>
          </cell>
          <cell r="J71">
            <v>41531319.57</v>
          </cell>
        </row>
        <row r="72">
          <cell r="D72">
            <v>216.81</v>
          </cell>
          <cell r="J72">
            <v>18268076.859999999</v>
          </cell>
        </row>
        <row r="73">
          <cell r="D73">
            <v>16517.400000000001</v>
          </cell>
          <cell r="J73">
            <v>27180884.469999999</v>
          </cell>
        </row>
        <row r="74">
          <cell r="J74">
            <v>4549.54</v>
          </cell>
        </row>
        <row r="75">
          <cell r="D75">
            <v>2061383.72</v>
          </cell>
          <cell r="J75">
            <v>84015.89</v>
          </cell>
        </row>
        <row r="76">
          <cell r="D76">
            <v>7729248056.6400003</v>
          </cell>
        </row>
        <row r="77">
          <cell r="J77">
            <v>13588983.369999999</v>
          </cell>
        </row>
        <row r="78">
          <cell r="J78">
            <v>24038164602.139999</v>
          </cell>
        </row>
        <row r="80">
          <cell r="D80">
            <v>3522000</v>
          </cell>
        </row>
        <row r="81">
          <cell r="D81">
            <v>166795240.44999999</v>
          </cell>
          <cell r="J81">
            <v>2915626.44</v>
          </cell>
        </row>
        <row r="82">
          <cell r="D82">
            <v>3097791.07</v>
          </cell>
        </row>
        <row r="83">
          <cell r="D83">
            <v>15000</v>
          </cell>
          <cell r="J83">
            <v>19092010.760000002</v>
          </cell>
        </row>
        <row r="84">
          <cell r="D84">
            <v>3693580.37</v>
          </cell>
          <cell r="J84">
            <v>313867846.01999998</v>
          </cell>
        </row>
        <row r="85">
          <cell r="D85">
            <v>22841533.75</v>
          </cell>
          <cell r="J85">
            <v>2905312.55</v>
          </cell>
        </row>
        <row r="86">
          <cell r="D86">
            <v>92413397.870000005</v>
          </cell>
          <cell r="J86">
            <v>14946.53</v>
          </cell>
        </row>
        <row r="87">
          <cell r="D87">
            <v>4589064.66</v>
          </cell>
          <cell r="J87">
            <v>75604.28</v>
          </cell>
        </row>
        <row r="88">
          <cell r="J88">
            <v>2504324.9700000002</v>
          </cell>
        </row>
        <row r="89">
          <cell r="D89">
            <v>291048000</v>
          </cell>
          <cell r="J89">
            <v>67729775.730000004</v>
          </cell>
        </row>
        <row r="90">
          <cell r="J90">
            <v>499983.79</v>
          </cell>
        </row>
        <row r="91">
          <cell r="D91">
            <v>141483108</v>
          </cell>
        </row>
        <row r="92">
          <cell r="J92">
            <v>15959132.109999999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>
            <v>178.84799619103532</v>
          </cell>
          <cell r="D16">
            <v>311.43904934222388</v>
          </cell>
          <cell r="E16">
            <v>472.06955064551153</v>
          </cell>
          <cell r="F16">
            <v>233.41200791773528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  <sheetName val="SFP"/>
      <sheetName val="Equity"/>
      <sheetName val="CFS"/>
      <sheetName val="CFS FS format"/>
      <sheetName val="TB"/>
      <sheetName val="For CFS"/>
      <sheetName val="PPE &amp; IA"/>
      <sheetName val="PBE FA &amp; I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OA"/>
      <sheetName val="Портфель ЦБ 2020"/>
      <sheetName val="17"/>
      <sheetName val="18"/>
      <sheetName val="19"/>
      <sheetName val="RP"/>
      <sheetName val="IFRS 7"/>
      <sheetName val="RP list 01.01.2021"/>
      <sheetName val="Loan portfolio"/>
      <sheetName val="PBE_4Q"/>
      <sheetName val="OECD list"/>
      <sheetName val="REPO PORTFOLIO"/>
      <sheetName val="Settlement prices"/>
    </sheetNames>
    <sheetDataSet>
      <sheetData sheetId="0"/>
      <sheetData sheetId="1">
        <row r="4">
          <cell r="D4">
            <v>142590</v>
          </cell>
          <cell r="E4">
            <v>3208528</v>
          </cell>
        </row>
      </sheetData>
      <sheetData sheetId="2"/>
      <sheetData sheetId="3">
        <row r="8">
          <cell r="AK8">
            <v>1247172</v>
          </cell>
        </row>
        <row r="9">
          <cell r="AK9">
            <v>102064</v>
          </cell>
        </row>
        <row r="10">
          <cell r="AK10">
            <v>10060</v>
          </cell>
        </row>
        <row r="11">
          <cell r="AK11">
            <v>0</v>
          </cell>
        </row>
        <row r="12">
          <cell r="AK12">
            <v>428465</v>
          </cell>
        </row>
        <row r="13">
          <cell r="AK13">
            <v>1741834</v>
          </cell>
        </row>
        <row r="14">
          <cell r="AK14">
            <v>-80062</v>
          </cell>
        </row>
        <row r="15">
          <cell r="AK15">
            <v>8557</v>
          </cell>
        </row>
        <row r="16">
          <cell r="AK16">
            <v>-198164</v>
          </cell>
        </row>
        <row r="17">
          <cell r="AK17">
            <v>-470131</v>
          </cell>
        </row>
        <row r="18">
          <cell r="AK18">
            <v>-126650</v>
          </cell>
        </row>
        <row r="19">
          <cell r="AK19">
            <v>-954028</v>
          </cell>
        </row>
        <row r="20">
          <cell r="AK20">
            <v>-800</v>
          </cell>
        </row>
        <row r="21">
          <cell r="AK21">
            <v>-410</v>
          </cell>
        </row>
        <row r="26">
          <cell r="AK26">
            <v>0</v>
          </cell>
        </row>
        <row r="27">
          <cell r="AK27">
            <v>1368482</v>
          </cell>
        </row>
        <row r="28">
          <cell r="AK28">
            <v>330280</v>
          </cell>
        </row>
        <row r="30">
          <cell r="AK30">
            <v>2284251</v>
          </cell>
        </row>
        <row r="31">
          <cell r="AK31">
            <v>75624</v>
          </cell>
        </row>
        <row r="33">
          <cell r="AK33">
            <v>-383899</v>
          </cell>
        </row>
        <row r="35">
          <cell r="AK35">
            <v>-514466</v>
          </cell>
        </row>
        <row r="38">
          <cell r="AK38">
            <v>-148016</v>
          </cell>
        </row>
        <row r="43">
          <cell r="AK43">
            <v>-134557</v>
          </cell>
        </row>
        <row r="44">
          <cell r="AK44">
            <v>0</v>
          </cell>
        </row>
        <row r="49">
          <cell r="AK49">
            <v>0</v>
          </cell>
        </row>
        <row r="51">
          <cell r="AK51">
            <v>3820010</v>
          </cell>
        </row>
        <row r="52">
          <cell r="AK52">
            <v>-11468666</v>
          </cell>
        </row>
        <row r="56">
          <cell r="AK56">
            <v>-2888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tabColor rgb="FF7030A0"/>
    <pageSetUpPr fitToPage="1"/>
  </sheetPr>
  <dimension ref="A1:D49"/>
  <sheetViews>
    <sheetView topLeftCell="A16" workbookViewId="0">
      <selection activeCell="C40" activeCellId="1" sqref="C32 C40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</cols>
  <sheetData>
    <row r="1" spans="1:4" x14ac:dyDescent="0.25">
      <c r="A1" s="37" t="s">
        <v>0</v>
      </c>
      <c r="B1" s="15"/>
      <c r="C1" s="11"/>
      <c r="D1" s="11"/>
    </row>
    <row r="2" spans="1:4" x14ac:dyDescent="0.25">
      <c r="A2" s="37" t="s">
        <v>1</v>
      </c>
      <c r="B2" s="15"/>
      <c r="C2" s="11"/>
      <c r="D2" s="11"/>
    </row>
    <row r="3" spans="1:4" x14ac:dyDescent="0.25">
      <c r="A3" s="15"/>
      <c r="B3" s="15"/>
      <c r="C3" s="11"/>
      <c r="D3" s="11"/>
    </row>
    <row r="4" spans="1:4" x14ac:dyDescent="0.25">
      <c r="A4" s="38" t="s">
        <v>111</v>
      </c>
      <c r="B4" s="15"/>
      <c r="C4" s="11"/>
      <c r="D4" s="11"/>
    </row>
    <row r="5" spans="1:4" x14ac:dyDescent="0.25">
      <c r="A5" s="15"/>
      <c r="B5" s="15"/>
      <c r="C5" s="11"/>
      <c r="D5" s="11"/>
    </row>
    <row r="6" spans="1:4" x14ac:dyDescent="0.25">
      <c r="A6" s="39" t="s">
        <v>3</v>
      </c>
      <c r="B6" s="15"/>
      <c r="C6" s="11"/>
      <c r="D6" s="11"/>
    </row>
    <row r="7" spans="1:4" x14ac:dyDescent="0.25">
      <c r="A7" s="40"/>
      <c r="B7" s="15"/>
      <c r="C7" s="41"/>
      <c r="D7" s="41"/>
    </row>
    <row r="8" spans="1:4" ht="22.5" x14ac:dyDescent="0.25">
      <c r="A8" s="42"/>
      <c r="B8" s="8" t="s">
        <v>4</v>
      </c>
      <c r="C8" s="9" t="s">
        <v>108</v>
      </c>
      <c r="D8" s="9" t="s">
        <v>112</v>
      </c>
    </row>
    <row r="9" spans="1:4" x14ac:dyDescent="0.25">
      <c r="A9" s="44" t="s">
        <v>27</v>
      </c>
      <c r="B9" s="15"/>
      <c r="C9" s="11"/>
      <c r="D9" s="11"/>
    </row>
    <row r="10" spans="1:4" x14ac:dyDescent="0.25">
      <c r="A10" s="45" t="s">
        <v>28</v>
      </c>
      <c r="B10" s="88">
        <v>10</v>
      </c>
      <c r="C10" s="11">
        <v>142590</v>
      </c>
      <c r="D10" s="11">
        <v>3208528</v>
      </c>
    </row>
    <row r="11" spans="1:4" x14ac:dyDescent="0.25">
      <c r="A11" s="45" t="s">
        <v>29</v>
      </c>
      <c r="B11" s="88"/>
      <c r="C11" s="11">
        <v>0</v>
      </c>
      <c r="D11" s="11">
        <v>0</v>
      </c>
    </row>
    <row r="12" spans="1:4" ht="31.5" x14ac:dyDescent="0.25">
      <c r="A12" s="45" t="s">
        <v>30</v>
      </c>
      <c r="B12" s="88">
        <v>11</v>
      </c>
      <c r="C12" s="11">
        <v>35317379</v>
      </c>
      <c r="D12" s="11">
        <v>34471039</v>
      </c>
    </row>
    <row r="13" spans="1:4" ht="31.5" x14ac:dyDescent="0.25">
      <c r="A13" s="45" t="s">
        <v>31</v>
      </c>
      <c r="B13" s="88">
        <v>12</v>
      </c>
      <c r="C13" s="11">
        <v>2826263</v>
      </c>
      <c r="D13" s="11">
        <v>3050313</v>
      </c>
    </row>
    <row r="14" spans="1:4" x14ac:dyDescent="0.25">
      <c r="A14" s="45" t="s">
        <v>32</v>
      </c>
      <c r="B14" s="88"/>
      <c r="C14" s="11">
        <v>30006</v>
      </c>
      <c r="D14" s="11">
        <v>30006</v>
      </c>
    </row>
    <row r="15" spans="1:4" x14ac:dyDescent="0.25">
      <c r="A15" s="45" t="s">
        <v>33</v>
      </c>
      <c r="B15" s="88"/>
      <c r="C15" s="11">
        <v>146900</v>
      </c>
      <c r="D15" s="11">
        <v>91396</v>
      </c>
    </row>
    <row r="16" spans="1:4" x14ac:dyDescent="0.25">
      <c r="A16" s="45" t="s">
        <v>34</v>
      </c>
      <c r="B16" s="88"/>
      <c r="C16" s="11">
        <v>245456</v>
      </c>
      <c r="D16" s="11">
        <v>197755</v>
      </c>
    </row>
    <row r="17" spans="1:4" x14ac:dyDescent="0.25">
      <c r="A17" s="45" t="s">
        <v>35</v>
      </c>
      <c r="B17" s="88">
        <v>13</v>
      </c>
      <c r="C17" s="11">
        <v>458265</v>
      </c>
      <c r="D17" s="11">
        <v>3858268</v>
      </c>
    </row>
    <row r="18" spans="1:4" x14ac:dyDescent="0.25">
      <c r="A18" s="46" t="s">
        <v>36</v>
      </c>
      <c r="B18" s="88"/>
      <c r="C18" s="11">
        <v>81304</v>
      </c>
      <c r="D18" s="11">
        <v>16386</v>
      </c>
    </row>
    <row r="19" spans="1:4" x14ac:dyDescent="0.25">
      <c r="A19" s="46" t="s">
        <v>37</v>
      </c>
      <c r="B19" s="88"/>
      <c r="C19" s="11">
        <v>49938</v>
      </c>
      <c r="D19" s="11">
        <v>117339</v>
      </c>
    </row>
    <row r="20" spans="1:4" x14ac:dyDescent="0.25">
      <c r="A20" s="47" t="s">
        <v>38</v>
      </c>
      <c r="B20" s="89">
        <v>14</v>
      </c>
      <c r="C20" s="13">
        <v>65089</v>
      </c>
      <c r="D20" s="13">
        <v>141050</v>
      </c>
    </row>
    <row r="21" spans="1:4" x14ac:dyDescent="0.25">
      <c r="A21" s="46"/>
      <c r="B21" s="88"/>
      <c r="C21" s="11"/>
      <c r="D21" s="11"/>
    </row>
    <row r="22" spans="1:4" x14ac:dyDescent="0.25">
      <c r="A22" s="48" t="s">
        <v>39</v>
      </c>
      <c r="B22" s="90"/>
      <c r="C22" s="17">
        <f>SUM(C10:C20)</f>
        <v>39363190</v>
      </c>
      <c r="D22" s="17">
        <f>SUM(D10:D20)</f>
        <v>45182080</v>
      </c>
    </row>
    <row r="23" spans="1:4" x14ac:dyDescent="0.25">
      <c r="A23" s="49"/>
      <c r="B23" s="88"/>
      <c r="C23" s="11"/>
      <c r="D23" s="11"/>
    </row>
    <row r="24" spans="1:4" x14ac:dyDescent="0.25">
      <c r="A24" s="50" t="s">
        <v>40</v>
      </c>
      <c r="B24" s="88"/>
      <c r="C24" s="11"/>
      <c r="D24" s="11"/>
    </row>
    <row r="25" spans="1:4" x14ac:dyDescent="0.25">
      <c r="A25" s="50"/>
      <c r="B25" s="88"/>
      <c r="C25" s="11"/>
      <c r="D25" s="11"/>
    </row>
    <row r="26" spans="1:4" x14ac:dyDescent="0.25">
      <c r="A26" s="49" t="s">
        <v>41</v>
      </c>
      <c r="B26" s="88"/>
      <c r="C26" s="11"/>
      <c r="D26" s="11"/>
    </row>
    <row r="27" spans="1:4" x14ac:dyDescent="0.25">
      <c r="A27" s="20"/>
      <c r="B27" s="88"/>
      <c r="C27" s="11"/>
      <c r="D27" s="11"/>
    </row>
    <row r="28" spans="1:4" x14ac:dyDescent="0.25">
      <c r="A28" s="45" t="s">
        <v>42</v>
      </c>
      <c r="B28" s="88">
        <v>15</v>
      </c>
      <c r="C28" s="11">
        <v>0</v>
      </c>
      <c r="D28" s="11">
        <v>7783131</v>
      </c>
    </row>
    <row r="29" spans="1:4" x14ac:dyDescent="0.25">
      <c r="A29" s="45" t="s">
        <v>43</v>
      </c>
      <c r="B29" s="88">
        <v>16</v>
      </c>
      <c r="C29" s="11">
        <v>10377383</v>
      </c>
      <c r="D29" s="11">
        <v>10859076</v>
      </c>
    </row>
    <row r="30" spans="1:4" x14ac:dyDescent="0.25">
      <c r="A30" s="47" t="s">
        <v>44</v>
      </c>
      <c r="B30" s="89">
        <v>17</v>
      </c>
      <c r="C30" s="13">
        <v>3852299</v>
      </c>
      <c r="D30" s="13">
        <v>906800</v>
      </c>
    </row>
    <row r="31" spans="1:4" x14ac:dyDescent="0.25">
      <c r="A31" s="51"/>
      <c r="B31" s="88"/>
      <c r="C31" s="11"/>
      <c r="D31" s="11"/>
    </row>
    <row r="32" spans="1:4" x14ac:dyDescent="0.25">
      <c r="A32" s="52" t="s">
        <v>45</v>
      </c>
      <c r="B32" s="90"/>
      <c r="C32" s="17">
        <f>SUM(C28:C30)</f>
        <v>14229682</v>
      </c>
      <c r="D32" s="17">
        <f>SUM(D28:D30)</f>
        <v>19549007</v>
      </c>
    </row>
    <row r="33" spans="1:4" x14ac:dyDescent="0.25">
      <c r="A33" s="49"/>
      <c r="B33" s="88"/>
      <c r="C33" s="11"/>
      <c r="D33" s="11"/>
    </row>
    <row r="34" spans="1:4" x14ac:dyDescent="0.25">
      <c r="A34" s="49" t="s">
        <v>46</v>
      </c>
      <c r="B34" s="88"/>
      <c r="C34" s="11"/>
      <c r="D34" s="11"/>
    </row>
    <row r="35" spans="1:4" x14ac:dyDescent="0.25">
      <c r="A35" s="46" t="s">
        <v>47</v>
      </c>
      <c r="B35" s="88">
        <v>18</v>
      </c>
      <c r="C35" s="11">
        <v>11240188</v>
      </c>
      <c r="D35" s="11">
        <v>11240188</v>
      </c>
    </row>
    <row r="36" spans="1:4" ht="21" x14ac:dyDescent="0.25">
      <c r="A36" s="46" t="s">
        <v>48</v>
      </c>
      <c r="B36" s="15"/>
      <c r="C36" s="11">
        <v>0</v>
      </c>
      <c r="D36" s="11">
        <v>0</v>
      </c>
    </row>
    <row r="37" spans="1:4" ht="31.5" x14ac:dyDescent="0.25">
      <c r="A37" s="45" t="s">
        <v>49</v>
      </c>
      <c r="B37" s="15"/>
      <c r="C37" s="11">
        <v>118534</v>
      </c>
      <c r="D37" s="11">
        <v>139146</v>
      </c>
    </row>
    <row r="38" spans="1:4" x14ac:dyDescent="0.25">
      <c r="A38" s="53" t="s">
        <v>50</v>
      </c>
      <c r="B38" s="43"/>
      <c r="C38" s="13">
        <v>13774786</v>
      </c>
      <c r="D38" s="13">
        <v>14253739</v>
      </c>
    </row>
    <row r="39" spans="1:4" x14ac:dyDescent="0.25">
      <c r="A39" s="54"/>
      <c r="B39" s="15"/>
      <c r="C39" s="11"/>
      <c r="D39" s="11"/>
    </row>
    <row r="40" spans="1:4" x14ac:dyDescent="0.25">
      <c r="A40" s="55" t="s">
        <v>51</v>
      </c>
      <c r="B40" s="34"/>
      <c r="C40" s="17">
        <f>SUM(C35:C38)</f>
        <v>25133508</v>
      </c>
      <c r="D40" s="17">
        <f>SUM(D35:D38)</f>
        <v>25633073</v>
      </c>
    </row>
    <row r="41" spans="1:4" x14ac:dyDescent="0.25">
      <c r="A41" s="54" t="s">
        <v>52</v>
      </c>
      <c r="B41" s="15"/>
      <c r="C41" s="11"/>
      <c r="D41" s="11"/>
    </row>
    <row r="42" spans="1:4" x14ac:dyDescent="0.25">
      <c r="A42" s="55" t="s">
        <v>53</v>
      </c>
      <c r="B42" s="34"/>
      <c r="C42" s="17">
        <f>C32+C40</f>
        <v>39363190</v>
      </c>
      <c r="D42" s="17">
        <f>D32+D40</f>
        <v>45182080</v>
      </c>
    </row>
    <row r="43" spans="1:4" x14ac:dyDescent="0.25">
      <c r="A43" s="56" t="s">
        <v>54</v>
      </c>
      <c r="B43" s="57"/>
      <c r="C43" s="58">
        <v>0</v>
      </c>
      <c r="D43" s="58">
        <v>0.85063999891281128</v>
      </c>
    </row>
    <row r="44" spans="1:4" x14ac:dyDescent="0.25">
      <c r="A44" s="15"/>
      <c r="B44" s="15"/>
      <c r="C44" s="11"/>
      <c r="D44" s="11"/>
    </row>
    <row r="45" spans="1:4" x14ac:dyDescent="0.25">
      <c r="A45" s="29" t="s">
        <v>22</v>
      </c>
      <c r="B45" s="11"/>
      <c r="C45" s="15"/>
      <c r="D45" s="59"/>
    </row>
    <row r="46" spans="1:4" x14ac:dyDescent="0.25">
      <c r="A46" s="29"/>
      <c r="B46" s="11"/>
      <c r="C46" s="15"/>
      <c r="D46" s="59"/>
    </row>
    <row r="47" spans="1:4" x14ac:dyDescent="0.25">
      <c r="A47" s="60"/>
      <c r="B47" s="11"/>
      <c r="C47" s="34"/>
      <c r="D47" s="61"/>
    </row>
    <row r="48" spans="1:4" x14ac:dyDescent="0.25">
      <c r="A48" s="36" t="s">
        <v>23</v>
      </c>
      <c r="B48" s="11"/>
      <c r="C48" s="36" t="s">
        <v>24</v>
      </c>
      <c r="D48" s="59"/>
    </row>
    <row r="49" spans="1:4" ht="22.5" x14ac:dyDescent="0.25">
      <c r="A49" s="62" t="s">
        <v>25</v>
      </c>
      <c r="B49" s="11"/>
      <c r="C49" s="36" t="s">
        <v>26</v>
      </c>
      <c r="D49" s="59"/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tabColor rgb="FF7030A0"/>
    <pageSetUpPr fitToPage="1"/>
  </sheetPr>
  <dimension ref="A1:F41"/>
  <sheetViews>
    <sheetView tabSelected="1" workbookViewId="0">
      <selection activeCell="C15" sqref="C15:D27"/>
    </sheetView>
  </sheetViews>
  <sheetFormatPr defaultRowHeight="15" x14ac:dyDescent="0.25"/>
  <cols>
    <col min="1" max="1" width="64" customWidth="1"/>
    <col min="2" max="2" width="11.85546875" bestFit="1" customWidth="1"/>
    <col min="3" max="3" width="15.85546875" customWidth="1"/>
    <col min="4" max="4" width="15.7109375" bestFit="1" customWidth="1"/>
    <col min="5" max="5" width="15.28515625" customWidth="1"/>
    <col min="6" max="6" width="15.5703125" customWidth="1"/>
  </cols>
  <sheetData>
    <row r="1" spans="1:6" s="2" customFormat="1" ht="15.75" x14ac:dyDescent="0.2">
      <c r="A1" s="1" t="s">
        <v>0</v>
      </c>
    </row>
    <row r="2" spans="1:6" s="2" customFormat="1" ht="15.75" x14ac:dyDescent="0.2">
      <c r="A2" s="1" t="s">
        <v>1</v>
      </c>
    </row>
    <row r="3" spans="1:6" s="2" customFormat="1" ht="15.75" x14ac:dyDescent="0.2">
      <c r="A3" s="1"/>
    </row>
    <row r="4" spans="1:6" s="2" customFormat="1" ht="27.75" customHeight="1" x14ac:dyDescent="0.2">
      <c r="A4" s="3" t="s">
        <v>2</v>
      </c>
    </row>
    <row r="5" spans="1:6" s="2" customFormat="1" ht="27" customHeight="1" x14ac:dyDescent="0.2">
      <c r="A5" s="4" t="s">
        <v>3</v>
      </c>
    </row>
    <row r="6" spans="1:6" s="2" customFormat="1" ht="12.75" x14ac:dyDescent="0.2">
      <c r="A6" s="5"/>
      <c r="E6" s="6"/>
      <c r="F6" s="6"/>
    </row>
    <row r="7" spans="1:6" s="2" customFormat="1" ht="42.75" customHeight="1" x14ac:dyDescent="0.2">
      <c r="A7" s="7"/>
      <c r="B7" s="8" t="s">
        <v>4</v>
      </c>
      <c r="C7" s="9" t="s">
        <v>115</v>
      </c>
      <c r="D7" s="9" t="s">
        <v>116</v>
      </c>
      <c r="E7" s="9" t="s">
        <v>109</v>
      </c>
      <c r="F7" s="9" t="s">
        <v>113</v>
      </c>
    </row>
    <row r="8" spans="1:6" s="2" customFormat="1" ht="15" customHeight="1" x14ac:dyDescent="0.2">
      <c r="A8" s="10" t="s">
        <v>5</v>
      </c>
      <c r="B8" s="11">
        <v>5</v>
      </c>
      <c r="C8" s="11">
        <f>ROUND(('[1]5610 2 кв 2021 и 2020'!E12+'[1]5610 2 кв 2021 и 2020'!E13+'[1]5610 2 кв 2021 и 2020'!E14-'[1]5610 2 кв 2021 и 2020'!D47)/1000,0)</f>
        <v>770635</v>
      </c>
      <c r="D8" s="11">
        <f>ROUND(('[1]5610 2 кв 2021 и 2020'!K12+'[1]5610 2 кв 2021 и 2020'!K13+'[1]5610 2 кв 2021 и 2020'!K14+'[1]5610 2 кв 2021 и 2020'!K15-'[1]5610 2 кв 2021 и 2020'!J46)/1000,0)</f>
        <v>724583</v>
      </c>
      <c r="E8" s="11">
        <f>ROUND(('[1]5610 H1 2021'!E12+'[1]5610 H1 2021'!E15-'[1]5610 H1 2021'!D60+'[1]5610 H1 2021'!E18)/1000,0)</f>
        <v>1545900</v>
      </c>
      <c r="F8" s="11">
        <f>('[1]5610 H1 2021'!K12+'[1]5610 H1 2021'!K15+'[1]5610 H1 2021'!K18+'[1]5610 H1 2021'!K19-'[1]5610 H1 2021'!J61)/1000</f>
        <v>1520894.0099799999</v>
      </c>
    </row>
    <row r="9" spans="1:6" s="2" customFormat="1" ht="15" customHeight="1" x14ac:dyDescent="0.2">
      <c r="A9" s="12" t="s">
        <v>6</v>
      </c>
      <c r="B9" s="13">
        <v>5</v>
      </c>
      <c r="C9" s="13">
        <f>-ROUND(('[1]5610 2 кв 2021 и 2020'!D48+'[1]5610 2 кв 2021 и 2020'!D49)/1000,0)</f>
        <v>-264783</v>
      </c>
      <c r="D9" s="13">
        <f>-ROUND(('[1]5610 2 кв 2021 и 2020'!J47+'[1]5610 2 кв 2021 и 2020'!J48)/1000,0)</f>
        <v>-611677</v>
      </c>
      <c r="E9" s="13">
        <f>-ROUND(('[1]5610 H1 2021'!D63+'[1]5610 H1 2021'!D64)/1000,0)</f>
        <v>-563683</v>
      </c>
      <c r="F9" s="13">
        <f>-('[1]5610 H1 2021'!J64+'[1]5610 H1 2021'!J65)/1000</f>
        <v>-1246866.0249900001</v>
      </c>
    </row>
    <row r="10" spans="1:6" s="2" customFormat="1" ht="15" customHeight="1" x14ac:dyDescent="0.2">
      <c r="A10" s="14"/>
      <c r="B10" s="15"/>
      <c r="C10" s="15"/>
      <c r="D10" s="15"/>
      <c r="E10" s="15"/>
      <c r="F10" s="15"/>
    </row>
    <row r="11" spans="1:6" s="128" customFormat="1" ht="15" customHeight="1" x14ac:dyDescent="0.2">
      <c r="A11" s="16" t="s">
        <v>7</v>
      </c>
      <c r="B11" s="17"/>
      <c r="C11" s="17">
        <f>SUM(C8:C9)</f>
        <v>505852</v>
      </c>
      <c r="D11" s="17">
        <f>SUM(D8:D9)</f>
        <v>112906</v>
      </c>
      <c r="E11" s="17">
        <f>SUM(E8:E9)</f>
        <v>982217</v>
      </c>
      <c r="F11" s="17">
        <f>SUM(F8:F9)</f>
        <v>274027.98498999979</v>
      </c>
    </row>
    <row r="12" spans="1:6" s="2" customFormat="1" ht="15" customHeight="1" x14ac:dyDescent="0.2">
      <c r="A12" s="14"/>
      <c r="B12" s="15"/>
      <c r="C12" s="15"/>
      <c r="D12" s="15"/>
      <c r="E12" s="15"/>
      <c r="F12" s="15"/>
    </row>
    <row r="13" spans="1:6" s="2" customFormat="1" ht="21" x14ac:dyDescent="0.2">
      <c r="A13" s="18" t="s">
        <v>8</v>
      </c>
      <c r="B13" s="11">
        <v>6</v>
      </c>
      <c r="C13" s="11">
        <f>ROUND(('[1]5610 2 кв 2021 и 2020'!E19+'[1]5610 2 кв 2021 и 2020'!E35+'[1]5610 2 кв 2021 и 2020'!E37-'[1]5610 2 кв 2021 и 2020'!D61-'[1]5610 2 кв 2021 и 2020'!D64-'[1]5610 2 кв 2021 и 2020'!D72)/1000,0)</f>
        <v>181721</v>
      </c>
      <c r="D13" s="11">
        <f>ROUND(('[1]5610 2 кв 2021 и 2020'!K20+'[1]5610 2 кв 2021 и 2020'!K35-'[1]5610 2 кв 2021 и 2020'!J59-'[1]5610 2 кв 2021 и 2020'!J63)/1000,0)</f>
        <v>3400192</v>
      </c>
      <c r="E13" s="11">
        <f>('[1]5610 H1 2021'!E28+'[1]5610 H1 2021'!E48+'[1]5610 H1 2021'!E50-'[1]5610 H1 2021'!D76-'[1]5610 H1 2021'!D81-'[1]5610 H1 2021'!D89)/1000</f>
        <v>1561198.07476</v>
      </c>
      <c r="F13" s="11">
        <f>('[1]5610 H1 2021'!K29+'[1]5610 H1 2021'!K50-'[1]5610 H1 2021'!J78-'[1]5610 H1 2021'!J84)/1000</f>
        <v>-884294.45027000003</v>
      </c>
    </row>
    <row r="14" spans="1:6" s="2" customFormat="1" ht="15" customHeight="1" x14ac:dyDescent="0.2">
      <c r="A14" s="18" t="s">
        <v>9</v>
      </c>
      <c r="B14" s="11">
        <v>7</v>
      </c>
      <c r="C14" s="11">
        <f>ROUND(('[1]5610 2 кв 2021 и 2020'!E26+'[1]5610 2 кв 2021 и 2020'!E30-'[1]5610 2 кв 2021 и 2020'!D52-'[1]5610 2 кв 2021 и 2020'!D60)/1000,0)</f>
        <v>423437</v>
      </c>
      <c r="D14" s="11">
        <f>ROUND(('[1]5610 2 кв 2021 и 2020'!K29-'[1]5610 2 кв 2021 и 2020'!J58-'[1]5610 2 кв 2021 и 2020'!J50)/1000,0)</f>
        <v>-2352881</v>
      </c>
      <c r="E14" s="11">
        <f>('[1]5610 H1 2021'!E39+'[1]5610 H1 2021'!E43-'[1]5610 H1 2021'!D67-'[1]5610 H1 2021'!D75)/1000</f>
        <v>478858.53645000007</v>
      </c>
      <c r="F14" s="11">
        <f>('[1]5610 H1 2021'!K41+'[1]5610 H1 2021'!K45-'[1]5610 H1 2021'!J68-'[1]5610 H1 2021'!J77)/1000</f>
        <v>1356929.1173800002</v>
      </c>
    </row>
    <row r="15" spans="1:6" s="2" customFormat="1" ht="15" customHeight="1" x14ac:dyDescent="0.2">
      <c r="A15" s="18" t="s">
        <v>10</v>
      </c>
      <c r="B15" s="11">
        <v>8</v>
      </c>
      <c r="C15" s="159">
        <f>ROUND(('[1]5610 2 кв 2021 и 2020'!E15+'[1]5610 2 кв 2021 и 2020'!E16)/1000,0)</f>
        <v>286465</v>
      </c>
      <c r="D15" s="159">
        <f>ROUND(('[1]5610 2 кв 2021 и 2020'!K16+'[1]5610 2 кв 2021 и 2020'!K17)/1000,0)</f>
        <v>353679</v>
      </c>
      <c r="E15" s="11">
        <f>('[1]5610 H1 2021'!E19+'[1]5610 H1 2021'!E25)/1000</f>
        <v>629896.25816000008</v>
      </c>
      <c r="F15" s="11">
        <f>('[1]5610 H1 2021'!K20+'[1]5610 H1 2021'!K26)/1000</f>
        <v>553405.44776000001</v>
      </c>
    </row>
    <row r="16" spans="1:6" s="2" customFormat="1" ht="15" customHeight="1" x14ac:dyDescent="0.2">
      <c r="A16" s="18" t="s">
        <v>11</v>
      </c>
      <c r="B16" s="11">
        <v>8</v>
      </c>
      <c r="C16" s="159">
        <f>-ROUND(('[1]5610 2 кв 2021 и 2020'!D65+'[1]5610 2 кв 2021 и 2020'!D66+'[1]5610 2 кв 2021 и 2020'!D67+'[1]5610 2 кв 2021 и 2020'!D68+'[1]5610 2 кв 2021 и 2020'!D69+'[1]5610 2 кв 2021 и 2020'!D70)/1000,0)</f>
        <v>-110214</v>
      </c>
      <c r="D16" s="159">
        <f>-ROUND(('[1]5610 2 кв 2021 и 2020'!J64+'[1]5610 2 кв 2021 и 2020'!J65+'[1]5610 2 кв 2021 и 2020'!J66+'[1]5610 2 кв 2021 и 2020'!J67+'[1]5610 2 кв 2021 и 2020'!J68+'[1]5610 2 кв 2021 и 2020'!J69)/1000,0)</f>
        <v>-19213</v>
      </c>
      <c r="E16" s="11">
        <f>-('[1]5610 H1 2021'!D82+'[1]5610 H1 2021'!D83+'[1]5610 H1 2021'!D84+'[1]5610 H1 2021'!D85+'[1]5610 H1 2021'!D86+'[1]5610 H1 2021'!D87)/1000</f>
        <v>-126650.36771999999</v>
      </c>
      <c r="F16" s="11">
        <f>-('[1]5610 H1 2021'!J85+'[1]5610 H1 2021'!J86+'[1]5610 H1 2021'!J87+'[1]5610 H1 2021'!J88+'[1]5610 H1 2021'!J89+'[1]5610 H1 2021'!J90)/1000</f>
        <v>-73729.947850000011</v>
      </c>
    </row>
    <row r="17" spans="1:6" s="2" customFormat="1" ht="31.5" x14ac:dyDescent="0.2">
      <c r="A17" s="18" t="s">
        <v>12</v>
      </c>
      <c r="B17" s="11"/>
      <c r="C17" s="159">
        <f>('[1]5610 2 кв 2021 и 2020'!E34-'[1]5610 2 кв 2021 и 2020'!D63)</f>
        <v>0</v>
      </c>
      <c r="D17" s="159">
        <f>ROUND(('[1]5610 2 кв 2021 и 2020'!K21+'[1]5610 2 кв 2021 и 2020'!K34-'[1]5610 2 кв 2021 и 2020'!J60-'[1]5610 2 кв 2021 и 2020'!J62)/1000,0)</f>
        <v>342312</v>
      </c>
      <c r="E17" s="11">
        <f>('[1]5610 H1 2021'!E31+'[1]5610 H1 2021'!E47-'[1]5610 H1 2021'!D80)/1000</f>
        <v>8556.6832400000003</v>
      </c>
      <c r="F17" s="11">
        <f>('[1]5610 H1 2021'!K32+'[1]5610 H1 2021'!K49-'[1]5610 H1 2021'!J81-'[1]5610 H1 2021'!J83)/1000</f>
        <v>350594.59703</v>
      </c>
    </row>
    <row r="18" spans="1:6" s="2" customFormat="1" ht="31.5" x14ac:dyDescent="0.2">
      <c r="A18" s="18" t="s">
        <v>13</v>
      </c>
      <c r="B18" s="11"/>
      <c r="C18" s="159">
        <f>ROUND(('[1]5610 2 кв 2021 и 2020'!E22-'[1]5610 2 кв 2021 и 2020'!D55)/1000,0)</f>
        <v>-14665</v>
      </c>
      <c r="D18" s="159">
        <f>ROUND(('[1]5610 2 кв 2021 и 2020'!K24-'[1]5610 2 кв 2021 и 2020'!J53)/1000,0)</f>
        <v>-17099</v>
      </c>
      <c r="E18" s="11">
        <f>('[1]5610 H1 2021'!E35-'[1]5610 H1 2021'!D70)/1000</f>
        <v>-29941.073519999998</v>
      </c>
      <c r="F18" s="11">
        <f>('[1]5610 H1 2021'!K36-'[1]5610 H1 2021'!J71)/1000</f>
        <v>-31783.8639</v>
      </c>
    </row>
    <row r="19" spans="1:6" s="2" customFormat="1" ht="15" customHeight="1" x14ac:dyDescent="0.2">
      <c r="A19" s="18" t="s">
        <v>14</v>
      </c>
      <c r="B19" s="11"/>
      <c r="C19" s="159">
        <f>ROUND('[1]5610 2 кв 2021 и 2020'!E17/1000,0)</f>
        <v>427397</v>
      </c>
      <c r="D19" s="159">
        <f>ROUND('[1]5610 2 кв 2021 и 2020'!K18/1000,0)</f>
        <v>255136</v>
      </c>
      <c r="E19" s="11">
        <f>'[1]5610 H1 2021'!E26/1000</f>
        <v>428464.84424000001</v>
      </c>
      <c r="F19" s="11">
        <f>'[1]5610 H1 2021'!K27/1000</f>
        <v>288215.46655000001</v>
      </c>
    </row>
    <row r="20" spans="1:6" s="2" customFormat="1" ht="21" x14ac:dyDescent="0.2">
      <c r="A20" s="18" t="s">
        <v>15</v>
      </c>
      <c r="B20" s="11"/>
      <c r="C20" s="159">
        <f>ROUND(('[1]5610 2 кв 2021 и 2020'!E23+'[1]5610 2 кв 2021 и 2020'!E24+'[1]5610 2 кв 2021 и 2020'!E25-'[1]5610 2 кв 2021 и 2020'!D56-'[1]5610 2 кв 2021 и 2020'!D57-'[1]5610 2 кв 2021 и 2020'!D58)/1000,0)</f>
        <v>-3590</v>
      </c>
      <c r="D20" s="159">
        <f>ROUND(('[1]5610 2 кв 2021 и 2020'!K25+'[1]5610 2 кв 2021 и 2020'!K26+'[1]5610 2 кв 2021 и 2020'!K27+'[1]5610 2 кв 2021 и 2020'!K28-'[1]5610 2 кв 2021 и 2020'!J54-'[1]5610 2 кв 2021 и 2020'!J55-'[1]5610 2 кв 2021 и 2020'!J56)/1000,0)</f>
        <v>-18445</v>
      </c>
      <c r="E20" s="11">
        <f>('[1]5610 H1 2021'!E36+'[1]5610 H1 2021'!E37+'[1]5610 H1 2021'!E38-'[1]5610 H1 2021'!D71-'[1]5610 H1 2021'!D72-'[1]5610 H1 2021'!D73)/1000</f>
        <v>53723.929400000008</v>
      </c>
      <c r="F20" s="11">
        <f>('[1]5610 H1 2021'!K37+'[1]5610 H1 2021'!K38+'[1]5610 H1 2021'!K39+'[1]5610 H1 2021'!K40-'[1]5610 H1 2021'!J72-'[1]5610 H1 2021'!J73-'[1]5610 H1 2021'!J74-'[1]5610 H1 2021'!J75)/1000</f>
        <v>-6195.4507699999958</v>
      </c>
    </row>
    <row r="21" spans="1:6" s="2" customFormat="1" ht="15" customHeight="1" x14ac:dyDescent="0.2">
      <c r="A21" s="19" t="s">
        <v>16</v>
      </c>
      <c r="B21" s="13"/>
      <c r="C21" s="160">
        <f>ROUND(('[1]5610 2 кв 2021 и 2020'!E28+'[1]5610 2 кв 2021 и 2020'!E31+'[1]5610 2 кв 2021 и 2020'!E32-'[1]5610 2 кв 2021 и 2020'!D51)/1000,0)</f>
        <v>4438</v>
      </c>
      <c r="D21" s="160">
        <f>ROUND('[1]5610 2 кв 2021 и 2020'!K31/1000,0)</f>
        <v>134</v>
      </c>
      <c r="E21" s="13">
        <f>('[1]5610 H1 2021'!E33+'[1]5610 H1 2021'!E41+'[1]5610 H1 2021'!E44+'[1]5610 H1 2021'!E45-'[1]5610 H1 2021'!D66)/1000</f>
        <v>5271.4805800000004</v>
      </c>
      <c r="F21" s="13">
        <f>('[1]5610 H1 2021'!K33+'[1]5610 H1 2021'!K43+'[1]5610 H1 2021'!K46+'[1]5610 H1 2021'!K47-'[1]5610 H1 2021'!J67)/1000</f>
        <v>4603.3447299999998</v>
      </c>
    </row>
    <row r="22" spans="1:6" s="2" customFormat="1" ht="12.75" x14ac:dyDescent="0.2">
      <c r="A22" s="20"/>
      <c r="B22" s="11"/>
      <c r="C22" s="159"/>
      <c r="D22" s="159"/>
      <c r="E22" s="15"/>
      <c r="F22" s="15"/>
    </row>
    <row r="23" spans="1:6" s="2" customFormat="1" ht="12.75" x14ac:dyDescent="0.2">
      <c r="A23" s="21" t="s">
        <v>17</v>
      </c>
      <c r="B23" s="17"/>
      <c r="C23" s="161">
        <f>SUM(C13:C21)</f>
        <v>1194989</v>
      </c>
      <c r="D23" s="161">
        <f>SUM(D13:D21)</f>
        <v>1943815</v>
      </c>
      <c r="E23" s="17">
        <f>SUM(E13:E21)</f>
        <v>3009378.3655900001</v>
      </c>
      <c r="F23" s="17">
        <f>SUM(F13:F21)</f>
        <v>1557744.2606600001</v>
      </c>
    </row>
    <row r="24" spans="1:6" s="2" customFormat="1" ht="12.75" x14ac:dyDescent="0.2">
      <c r="A24" s="18"/>
      <c r="B24" s="11"/>
      <c r="C24" s="159"/>
      <c r="D24" s="159"/>
      <c r="E24" s="15"/>
      <c r="F24" s="15"/>
    </row>
    <row r="25" spans="1:6" s="2" customFormat="1" ht="12.75" x14ac:dyDescent="0.2">
      <c r="A25" s="12" t="s">
        <v>18</v>
      </c>
      <c r="B25" s="13">
        <v>9</v>
      </c>
      <c r="C25" s="160">
        <f>-ROUND('[1]5610 2 кв 2021 и 2020'!D38/1000,0)</f>
        <v>-513094</v>
      </c>
      <c r="D25" s="160">
        <f>-ROUND('[1]5610 2 кв 2021 и 2020'!J36/1000,0)</f>
        <v>-266853</v>
      </c>
      <c r="E25" s="13">
        <f>-'[1]5610 H1 2021'!D51/1000</f>
        <v>-990650.56122999999</v>
      </c>
      <c r="F25" s="13">
        <f>-'[1]5610 H1 2021'!J51/1000</f>
        <v>-475845.42648999998</v>
      </c>
    </row>
    <row r="26" spans="1:6" s="2" customFormat="1" ht="12.75" x14ac:dyDescent="0.2">
      <c r="A26" s="22"/>
      <c r="B26" s="11"/>
      <c r="C26" s="159"/>
      <c r="D26" s="159"/>
      <c r="E26" s="15"/>
      <c r="F26" s="15"/>
    </row>
    <row r="27" spans="1:6" s="2" customFormat="1" ht="12.75" x14ac:dyDescent="0.2">
      <c r="A27" s="23" t="s">
        <v>19</v>
      </c>
      <c r="B27" s="17"/>
      <c r="C27" s="161">
        <f>C23+C11+C25</f>
        <v>1187747</v>
      </c>
      <c r="D27" s="161">
        <f>D23+D11+D25</f>
        <v>1789868</v>
      </c>
      <c r="E27" s="17">
        <f>E23+E11+E25</f>
        <v>3000944.80436</v>
      </c>
      <c r="F27" s="17">
        <f>F23+F11+F25</f>
        <v>1355926.81916</v>
      </c>
    </row>
    <row r="28" spans="1:6" s="2" customFormat="1" ht="12.75" x14ac:dyDescent="0.2">
      <c r="A28" s="10"/>
      <c r="B28" s="11"/>
      <c r="C28" s="11"/>
      <c r="D28" s="11"/>
      <c r="E28" s="15"/>
      <c r="F28" s="15"/>
    </row>
    <row r="29" spans="1:6" s="2" customFormat="1" ht="12.75" x14ac:dyDescent="0.2">
      <c r="A29" s="24" t="s">
        <v>20</v>
      </c>
      <c r="B29" s="13"/>
      <c r="C29" s="13">
        <f>-ROUND('[1]5610 2 кв 2021 и 2020'!D74/1000,0)</f>
        <v>-104413</v>
      </c>
      <c r="D29" s="13">
        <f>-ROUND('[1]5610 2 кв 2021 и 2020'!J71/1000,0)</f>
        <v>-1964</v>
      </c>
      <c r="E29" s="13">
        <f>-'[1]5610 H1 2021'!D91/1000</f>
        <v>-141483.10800000001</v>
      </c>
      <c r="F29" s="13">
        <f>-'[1]5610 H1 2021'!J92/1000</f>
        <v>-15959.132109999999</v>
      </c>
    </row>
    <row r="30" spans="1:6" s="2" customFormat="1" ht="12.75" x14ac:dyDescent="0.2">
      <c r="A30" s="10"/>
      <c r="B30" s="11"/>
      <c r="C30" s="11"/>
      <c r="D30" s="11"/>
      <c r="E30" s="15"/>
      <c r="F30" s="15"/>
    </row>
    <row r="31" spans="1:6" s="2" customFormat="1" ht="12.75" x14ac:dyDescent="0.2">
      <c r="A31" s="23" t="s">
        <v>21</v>
      </c>
      <c r="B31" s="17"/>
      <c r="C31" s="17">
        <f>C27+C29</f>
        <v>1083334</v>
      </c>
      <c r="D31" s="17">
        <f>D27+D29</f>
        <v>1787904</v>
      </c>
      <c r="E31" s="17">
        <f>E27+E29</f>
        <v>2859461.6963599999</v>
      </c>
      <c r="F31" s="17">
        <f>F27+F29</f>
        <v>1339967.6870500001</v>
      </c>
    </row>
    <row r="32" spans="1:6" s="2" customFormat="1" ht="12.75" x14ac:dyDescent="0.2">
      <c r="A32" s="22"/>
      <c r="B32" s="11"/>
      <c r="C32" s="11"/>
      <c r="D32" s="11"/>
      <c r="E32" s="15"/>
      <c r="F32" s="15"/>
    </row>
    <row r="33" spans="1:6" s="2" customFormat="1" ht="13.5" thickBot="1" x14ac:dyDescent="0.25">
      <c r="A33" s="25" t="s">
        <v>117</v>
      </c>
      <c r="B33" s="26">
        <v>10</v>
      </c>
      <c r="C33" s="26">
        <f>'[1]9'!C16</f>
        <v>178.84799619103532</v>
      </c>
      <c r="D33" s="26">
        <f>'[1]9'!D16</f>
        <v>311.43904934222388</v>
      </c>
      <c r="E33" s="129">
        <f>'[1]9'!E16</f>
        <v>472.06955064551153</v>
      </c>
      <c r="F33" s="129">
        <f>'[1]9'!F16</f>
        <v>233.41200791773528</v>
      </c>
    </row>
    <row r="34" spans="1:6" s="2" customFormat="1" ht="15.75" x14ac:dyDescent="0.25">
      <c r="A34" s="27"/>
      <c r="B34" s="28"/>
      <c r="C34" s="28"/>
      <c r="D34" s="28"/>
    </row>
    <row r="35" spans="1:6" s="2" customFormat="1" ht="12.75" x14ac:dyDescent="0.2">
      <c r="A35" s="29" t="s">
        <v>22</v>
      </c>
      <c r="B35" s="30"/>
      <c r="C35" s="30"/>
      <c r="D35" s="30"/>
      <c r="E35" s="31"/>
    </row>
    <row r="36" spans="1:6" s="2" customFormat="1" ht="12.75" x14ac:dyDescent="0.2">
      <c r="A36" s="32"/>
      <c r="B36" s="30"/>
      <c r="C36" s="30"/>
      <c r="D36" s="30"/>
      <c r="E36" s="31"/>
    </row>
    <row r="37" spans="1:6" s="2" customFormat="1" ht="12.75" x14ac:dyDescent="0.2">
      <c r="A37" s="33"/>
      <c r="B37" s="30"/>
      <c r="C37" s="30"/>
      <c r="D37" s="30"/>
      <c r="E37" s="34"/>
      <c r="F37" s="35"/>
    </row>
    <row r="38" spans="1:6" s="2" customFormat="1" ht="12.75" x14ac:dyDescent="0.2">
      <c r="A38" s="36" t="s">
        <v>23</v>
      </c>
      <c r="B38" s="30"/>
      <c r="C38" s="30"/>
      <c r="D38" s="30"/>
      <c r="E38" s="36" t="s">
        <v>24</v>
      </c>
    </row>
    <row r="39" spans="1:6" s="2" customFormat="1" ht="12.75" x14ac:dyDescent="0.2">
      <c r="A39" s="36" t="s">
        <v>25</v>
      </c>
      <c r="B39" s="30"/>
      <c r="C39" s="30"/>
      <c r="D39" s="30"/>
      <c r="E39" s="36" t="s">
        <v>26</v>
      </c>
    </row>
    <row r="40" spans="1:6" x14ac:dyDescent="0.25">
      <c r="A40" s="32"/>
      <c r="B40" s="30"/>
      <c r="C40" s="31"/>
      <c r="D40" s="2"/>
    </row>
    <row r="41" spans="1:6" ht="15.75" x14ac:dyDescent="0.25">
      <c r="A41" s="27"/>
      <c r="B41" s="28"/>
      <c r="C41" s="2"/>
      <c r="D41" s="2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tabColor rgb="FF7030A0"/>
    <pageSetUpPr fitToPage="1"/>
  </sheetPr>
  <dimension ref="A1:F71"/>
  <sheetViews>
    <sheetView workbookViewId="0">
      <selection activeCell="D20" sqref="D20:D51"/>
    </sheetView>
  </sheetViews>
  <sheetFormatPr defaultRowHeight="15" x14ac:dyDescent="0.25"/>
  <cols>
    <col min="1" max="1" width="78.140625" customWidth="1"/>
    <col min="2" max="2" width="13.5703125" customWidth="1"/>
    <col min="3" max="3" width="18.5703125" bestFit="1" customWidth="1"/>
    <col min="4" max="4" width="18.5703125" style="130" bestFit="1" customWidth="1"/>
    <col min="5" max="6" width="9.5703125" bestFit="1" customWidth="1"/>
  </cols>
  <sheetData>
    <row r="1" spans="1:5" x14ac:dyDescent="0.25">
      <c r="A1" s="37" t="s">
        <v>0</v>
      </c>
    </row>
    <row r="2" spans="1:5" x14ac:dyDescent="0.25">
      <c r="A2" s="37" t="s">
        <v>1</v>
      </c>
    </row>
    <row r="4" spans="1:5" ht="25.5" x14ac:dyDescent="0.25">
      <c r="A4" s="3" t="s">
        <v>107</v>
      </c>
    </row>
    <row r="5" spans="1:5" x14ac:dyDescent="0.25">
      <c r="A5" s="74" t="s">
        <v>3</v>
      </c>
    </row>
    <row r="6" spans="1:5" ht="21" x14ac:dyDescent="0.25">
      <c r="A6" s="150"/>
      <c r="B6" s="152" t="s">
        <v>105</v>
      </c>
      <c r="C6" s="107" t="s">
        <v>110</v>
      </c>
      <c r="D6" s="131" t="s">
        <v>110</v>
      </c>
      <c r="E6" s="154"/>
    </row>
    <row r="7" spans="1:5" x14ac:dyDescent="0.25">
      <c r="A7" s="150"/>
      <c r="B7" s="152"/>
      <c r="C7" s="91" t="s">
        <v>66</v>
      </c>
      <c r="D7" s="132" t="s">
        <v>67</v>
      </c>
      <c r="E7" s="154"/>
    </row>
    <row r="8" spans="1:5" ht="15.75" thickBot="1" x14ac:dyDescent="0.3">
      <c r="A8" s="151"/>
      <c r="B8" s="153"/>
      <c r="C8" s="92" t="s">
        <v>68</v>
      </c>
      <c r="D8" s="133" t="s">
        <v>69</v>
      </c>
      <c r="E8" s="154"/>
    </row>
    <row r="9" spans="1:5" ht="15.75" x14ac:dyDescent="0.25">
      <c r="A9" s="65" t="s">
        <v>70</v>
      </c>
      <c r="B9" s="93"/>
      <c r="C9" s="93"/>
      <c r="D9" s="134"/>
      <c r="E9" s="94"/>
    </row>
    <row r="10" spans="1:5" ht="21" x14ac:dyDescent="0.25">
      <c r="A10" s="110" t="s">
        <v>71</v>
      </c>
      <c r="B10" s="93"/>
      <c r="C10" s="96">
        <f>ROUND([2]CFS!AK8,0)</f>
        <v>1247172</v>
      </c>
      <c r="D10" s="135">
        <v>1020474</v>
      </c>
      <c r="E10" s="94"/>
    </row>
    <row r="11" spans="1:5" ht="21" x14ac:dyDescent="0.25">
      <c r="A11" s="110" t="s">
        <v>72</v>
      </c>
      <c r="B11" s="93"/>
      <c r="C11" s="96">
        <f>ROUND([2]CFS!AK9,0)</f>
        <v>102064</v>
      </c>
      <c r="D11" s="135">
        <v>185030</v>
      </c>
      <c r="E11" s="94"/>
    </row>
    <row r="12" spans="1:5" ht="15.75" x14ac:dyDescent="0.25">
      <c r="A12" s="95" t="s">
        <v>73</v>
      </c>
      <c r="B12" s="93"/>
      <c r="C12" s="96">
        <f>ROUND([2]CFS!AK10,0)</f>
        <v>10060</v>
      </c>
      <c r="D12" s="135">
        <v>7242</v>
      </c>
      <c r="E12" s="94"/>
    </row>
    <row r="13" spans="1:5" ht="15.75" x14ac:dyDescent="0.25">
      <c r="A13" s="95" t="s">
        <v>74</v>
      </c>
      <c r="B13" s="93"/>
      <c r="C13" s="96">
        <f>ROUND([2]CFS!AK11,0)</f>
        <v>0</v>
      </c>
      <c r="D13" s="135">
        <v>105552</v>
      </c>
      <c r="E13" s="94"/>
    </row>
    <row r="14" spans="1:5" ht="15.75" x14ac:dyDescent="0.25">
      <c r="A14" s="95" t="s">
        <v>75</v>
      </c>
      <c r="B14" s="93"/>
      <c r="C14" s="96">
        <f>ROUND([2]CFS!AK12,0)</f>
        <v>428465</v>
      </c>
      <c r="D14" s="135">
        <v>288215</v>
      </c>
      <c r="E14" s="94"/>
    </row>
    <row r="15" spans="1:5" ht="15.75" x14ac:dyDescent="0.25">
      <c r="A15" s="95" t="s">
        <v>76</v>
      </c>
      <c r="B15" s="93"/>
      <c r="C15" s="96">
        <f>ROUND([2]CFS!AK13,0)</f>
        <v>1741834</v>
      </c>
      <c r="D15" s="135">
        <v>1198465</v>
      </c>
      <c r="E15" s="94"/>
    </row>
    <row r="16" spans="1:5" ht="21" x14ac:dyDescent="0.25">
      <c r="A16" s="110" t="s">
        <v>77</v>
      </c>
      <c r="B16" s="93"/>
      <c r="C16" s="96">
        <f>ROUND([2]CFS!AK14,0)</f>
        <v>-80062</v>
      </c>
      <c r="D16" s="135">
        <v>31436</v>
      </c>
      <c r="E16" s="94"/>
    </row>
    <row r="17" spans="1:6" ht="21" x14ac:dyDescent="0.25">
      <c r="A17" s="110" t="s">
        <v>78</v>
      </c>
      <c r="B17" s="93"/>
      <c r="C17" s="96">
        <f>ROUND([2]CFS!AK15,0)</f>
        <v>8557</v>
      </c>
      <c r="D17" s="135">
        <v>350595</v>
      </c>
      <c r="E17" s="94"/>
    </row>
    <row r="18" spans="1:6" ht="15.75" x14ac:dyDescent="0.25">
      <c r="A18" s="95" t="s">
        <v>79</v>
      </c>
      <c r="B18" s="93"/>
      <c r="C18" s="96">
        <f>ROUND([2]CFS!AK16,0)</f>
        <v>-198164</v>
      </c>
      <c r="D18" s="135">
        <v>-425374</v>
      </c>
      <c r="E18" s="94"/>
    </row>
    <row r="19" spans="1:6" ht="15.75" x14ac:dyDescent="0.25">
      <c r="A19" s="95" t="s">
        <v>80</v>
      </c>
      <c r="B19" s="93"/>
      <c r="C19" s="96">
        <f>ROUND([2]CFS!AK17,0)</f>
        <v>-470131</v>
      </c>
      <c r="D19" s="135">
        <v>-371487</v>
      </c>
      <c r="E19" s="94"/>
    </row>
    <row r="20" spans="1:6" ht="15.75" x14ac:dyDescent="0.25">
      <c r="A20" s="95" t="s">
        <v>81</v>
      </c>
      <c r="B20" s="93"/>
      <c r="C20" s="96">
        <f>ROUND([2]CFS!AK18,0)</f>
        <v>-126650</v>
      </c>
      <c r="D20" s="135">
        <v>-73730</v>
      </c>
      <c r="E20" s="94"/>
    </row>
    <row r="21" spans="1:6" ht="15.75" x14ac:dyDescent="0.25">
      <c r="A21" s="95" t="s">
        <v>82</v>
      </c>
      <c r="B21" s="93"/>
      <c r="C21" s="96">
        <f>ROUND([2]CFS!AK19,0)</f>
        <v>-954028</v>
      </c>
      <c r="D21" s="135">
        <v>-455079</v>
      </c>
      <c r="E21" s="94"/>
    </row>
    <row r="22" spans="1:6" ht="16.5" thickBot="1" x14ac:dyDescent="0.3">
      <c r="A22" s="95" t="s">
        <v>83</v>
      </c>
      <c r="B22" s="93"/>
      <c r="C22" s="96">
        <f>SUM([2]CFS!AK20:AK21)</f>
        <v>-1210</v>
      </c>
      <c r="D22" s="135">
        <f>32871+63940</f>
        <v>96811</v>
      </c>
      <c r="E22" s="94"/>
    </row>
    <row r="23" spans="1:6" ht="15.75" x14ac:dyDescent="0.25">
      <c r="A23" s="97"/>
      <c r="B23" s="98"/>
      <c r="C23" s="99"/>
      <c r="D23" s="136"/>
      <c r="E23" s="94"/>
    </row>
    <row r="24" spans="1:6" ht="21" x14ac:dyDescent="0.25">
      <c r="A24" s="110" t="s">
        <v>84</v>
      </c>
      <c r="B24" s="93"/>
      <c r="C24" s="96">
        <f>SUM(C10:C23)</f>
        <v>1707907</v>
      </c>
      <c r="D24" s="135">
        <f>SUM(D10:D22)</f>
        <v>1958150</v>
      </c>
      <c r="E24" s="94"/>
    </row>
    <row r="25" spans="1:6" ht="15.75" x14ac:dyDescent="0.25">
      <c r="A25" s="110"/>
      <c r="B25" s="93"/>
      <c r="C25" s="93"/>
      <c r="D25" s="134"/>
      <c r="E25" s="94"/>
    </row>
    <row r="26" spans="1:6" ht="15.75" x14ac:dyDescent="0.25">
      <c r="A26" s="110" t="s">
        <v>85</v>
      </c>
      <c r="B26" s="93"/>
      <c r="C26" s="93"/>
      <c r="D26" s="134"/>
      <c r="E26" s="94"/>
    </row>
    <row r="27" spans="1:6" ht="15.75" x14ac:dyDescent="0.25">
      <c r="A27" s="110" t="s">
        <v>86</v>
      </c>
      <c r="B27" s="93"/>
      <c r="C27" s="93"/>
      <c r="D27" s="134"/>
      <c r="E27" s="94"/>
    </row>
    <row r="28" spans="1:6" ht="15.75" x14ac:dyDescent="0.25">
      <c r="A28" s="110" t="s">
        <v>29</v>
      </c>
      <c r="B28" s="93"/>
      <c r="C28" s="96">
        <f>ROUND([2]CFS!AK26,0)</f>
        <v>0</v>
      </c>
      <c r="D28" s="135">
        <v>56426</v>
      </c>
      <c r="E28" s="94"/>
    </row>
    <row r="29" spans="1:6" ht="21" x14ac:dyDescent="0.25">
      <c r="A29" s="110" t="s">
        <v>30</v>
      </c>
      <c r="B29" s="93"/>
      <c r="C29" s="96">
        <f>ROUND([2]CFS!AK27,0)</f>
        <v>1368482</v>
      </c>
      <c r="D29" s="135">
        <v>2678134</v>
      </c>
      <c r="E29" s="94"/>
    </row>
    <row r="30" spans="1:6" ht="21" x14ac:dyDescent="0.25">
      <c r="A30" s="110" t="s">
        <v>87</v>
      </c>
      <c r="B30" s="93"/>
      <c r="C30" s="96">
        <f>ROUND([2]CFS!AK28,0)</f>
        <v>330280</v>
      </c>
      <c r="D30" s="135">
        <v>1517459</v>
      </c>
      <c r="E30" s="94"/>
    </row>
    <row r="31" spans="1:6" x14ac:dyDescent="0.25">
      <c r="A31" s="95" t="s">
        <v>35</v>
      </c>
      <c r="B31" s="93"/>
      <c r="C31" s="96">
        <f>ROUND([2]CFS!AK30,0)</f>
        <v>2284251</v>
      </c>
      <c r="D31" s="135">
        <v>-257923</v>
      </c>
      <c r="E31" s="127"/>
      <c r="F31" s="127"/>
    </row>
    <row r="32" spans="1:6" ht="15.75" x14ac:dyDescent="0.25">
      <c r="A32" s="95" t="s">
        <v>38</v>
      </c>
      <c r="B32" s="93"/>
      <c r="C32" s="96">
        <f>ROUND([2]CFS!AK31,0)</f>
        <v>75624</v>
      </c>
      <c r="D32" s="135">
        <f>69149+36621</f>
        <v>105770</v>
      </c>
      <c r="E32" s="94"/>
    </row>
    <row r="33" spans="1:6" ht="15.75" x14ac:dyDescent="0.25">
      <c r="A33" s="95" t="s">
        <v>43</v>
      </c>
      <c r="B33" s="93"/>
      <c r="C33" s="96">
        <f>ROUND([2]CFS!AK35,0)</f>
        <v>-514466</v>
      </c>
      <c r="D33" s="135">
        <v>-8553994</v>
      </c>
      <c r="E33" s="94"/>
    </row>
    <row r="34" spans="1:6" ht="15.75" thickBot="1" x14ac:dyDescent="0.3">
      <c r="A34" s="95" t="s">
        <v>44</v>
      </c>
      <c r="B34" s="93"/>
      <c r="C34" s="96">
        <f>ROUND([2]CFS!AK33,0)</f>
        <v>-383899</v>
      </c>
      <c r="D34" s="135">
        <v>-700044</v>
      </c>
      <c r="E34" s="127"/>
    </row>
    <row r="35" spans="1:6" ht="16.5" thickBot="1" x14ac:dyDescent="0.3">
      <c r="A35" s="100" t="s">
        <v>88</v>
      </c>
      <c r="B35" s="101"/>
      <c r="C35" s="102">
        <f>SUM(C24:C34)</f>
        <v>4868179</v>
      </c>
      <c r="D35" s="137">
        <f>SUM(D24:D34)</f>
        <v>-3196022</v>
      </c>
      <c r="E35" s="94"/>
    </row>
    <row r="36" spans="1:6" ht="16.5" thickBot="1" x14ac:dyDescent="0.3">
      <c r="A36" s="103" t="s">
        <v>89</v>
      </c>
      <c r="B36" s="104"/>
      <c r="C36" s="105">
        <f>ROUND([2]CFS!AK38,0)</f>
        <v>-148016</v>
      </c>
      <c r="D36" s="138">
        <v>454781</v>
      </c>
      <c r="E36" s="94"/>
    </row>
    <row r="37" spans="1:6" ht="15.75" x14ac:dyDescent="0.25">
      <c r="A37" s="95"/>
      <c r="B37" s="93"/>
      <c r="C37" s="93"/>
      <c r="D37" s="134"/>
      <c r="E37" s="94"/>
    </row>
    <row r="38" spans="1:6" ht="15.75" thickBot="1" x14ac:dyDescent="0.3">
      <c r="A38" s="103" t="s">
        <v>90</v>
      </c>
      <c r="B38" s="104"/>
      <c r="C38" s="106">
        <f>SUM(C35:C36)</f>
        <v>4720163</v>
      </c>
      <c r="D38" s="138">
        <f>SUM(D35:D36)</f>
        <v>-2741241</v>
      </c>
      <c r="E38" s="126"/>
      <c r="F38" s="126"/>
    </row>
    <row r="39" spans="1:6" ht="15.75" x14ac:dyDescent="0.25">
      <c r="A39" s="95"/>
      <c r="B39" s="93"/>
      <c r="C39" s="93"/>
      <c r="D39" s="134"/>
      <c r="E39" s="94"/>
    </row>
    <row r="40" spans="1:6" ht="15.75" x14ac:dyDescent="0.25">
      <c r="A40" s="65" t="s">
        <v>91</v>
      </c>
      <c r="B40" s="93"/>
      <c r="C40" s="93"/>
      <c r="D40" s="134"/>
      <c r="E40" s="94"/>
    </row>
    <row r="41" spans="1:6" ht="15.75" x14ac:dyDescent="0.25">
      <c r="A41" s="95" t="s">
        <v>92</v>
      </c>
      <c r="B41" s="93"/>
      <c r="C41" s="96">
        <f>ROUND([2]CFS!AK43,0)</f>
        <v>-134557</v>
      </c>
      <c r="D41" s="135">
        <v>-29046</v>
      </c>
      <c r="E41" s="94"/>
    </row>
    <row r="42" spans="1:6" ht="16.5" thickBot="1" x14ac:dyDescent="0.3">
      <c r="A42" s="95" t="s">
        <v>93</v>
      </c>
      <c r="B42" s="93"/>
      <c r="C42" s="96">
        <f>ROUND([2]CFS!AK44,0)</f>
        <v>0</v>
      </c>
      <c r="D42" s="134">
        <v>0</v>
      </c>
      <c r="E42" s="94"/>
    </row>
    <row r="43" spans="1:6" ht="15.75" x14ac:dyDescent="0.25">
      <c r="A43" s="97"/>
      <c r="B43" s="98"/>
      <c r="C43" s="98"/>
      <c r="D43" s="136"/>
      <c r="E43" s="94"/>
    </row>
    <row r="44" spans="1:6" ht="16.5" thickBot="1" x14ac:dyDescent="0.3">
      <c r="A44" s="103" t="s">
        <v>94</v>
      </c>
      <c r="B44" s="104"/>
      <c r="C44" s="106">
        <f>SUM(C41:C43)</f>
        <v>-134557</v>
      </c>
      <c r="D44" s="138">
        <f>SUM(D41:D43)</f>
        <v>-29046</v>
      </c>
      <c r="E44" s="94"/>
    </row>
    <row r="47" spans="1:6" x14ac:dyDescent="0.25">
      <c r="A47" s="155"/>
      <c r="B47" s="157" t="s">
        <v>105</v>
      </c>
      <c r="C47" s="107" t="s">
        <v>114</v>
      </c>
      <c r="D47" s="131" t="s">
        <v>114</v>
      </c>
    </row>
    <row r="48" spans="1:6" x14ac:dyDescent="0.25">
      <c r="A48" s="155"/>
      <c r="B48" s="157"/>
      <c r="C48" s="107" t="s">
        <v>106</v>
      </c>
      <c r="D48" s="131" t="s">
        <v>106</v>
      </c>
    </row>
    <row r="49" spans="1:6" x14ac:dyDescent="0.25">
      <c r="A49" s="155"/>
      <c r="B49" s="157"/>
      <c r="C49" s="107" t="s">
        <v>66</v>
      </c>
      <c r="D49" s="132" t="s">
        <v>67</v>
      </c>
    </row>
    <row r="50" spans="1:6" ht="15.75" thickBot="1" x14ac:dyDescent="0.3">
      <c r="A50" s="156"/>
      <c r="B50" s="158"/>
      <c r="C50" s="108" t="s">
        <v>68</v>
      </c>
      <c r="D50" s="133" t="s">
        <v>69</v>
      </c>
    </row>
    <row r="51" spans="1:6" x14ac:dyDescent="0.25">
      <c r="A51" s="64" t="s">
        <v>95</v>
      </c>
      <c r="B51" s="109"/>
      <c r="C51" s="109"/>
      <c r="D51" s="139"/>
    </row>
    <row r="52" spans="1:6" x14ac:dyDescent="0.25">
      <c r="A52" s="110" t="s">
        <v>96</v>
      </c>
      <c r="B52" s="111">
        <v>22</v>
      </c>
      <c r="C52" s="112">
        <f>ROUND([2]CFS!AK49,0)</f>
        <v>0</v>
      </c>
      <c r="D52" s="140">
        <v>0</v>
      </c>
    </row>
    <row r="53" spans="1:6" x14ac:dyDescent="0.25">
      <c r="A53" s="110" t="s">
        <v>97</v>
      </c>
      <c r="B53" s="111">
        <v>19</v>
      </c>
      <c r="C53" s="112">
        <f>ROUND([2]CFS!AK51,0)</f>
        <v>3820010</v>
      </c>
      <c r="D53" s="140">
        <v>26065107</v>
      </c>
    </row>
    <row r="54" spans="1:6" ht="15.75" thickBot="1" x14ac:dyDescent="0.3">
      <c r="A54" s="113" t="s">
        <v>98</v>
      </c>
      <c r="B54" s="114">
        <v>19</v>
      </c>
      <c r="C54" s="115">
        <f>ROUND([2]CFS!AK52,0)</f>
        <v>-11468666</v>
      </c>
      <c r="D54" s="141">
        <v>-20085173</v>
      </c>
    </row>
    <row r="55" spans="1:6" x14ac:dyDescent="0.25">
      <c r="A55" s="110"/>
      <c r="B55" s="109"/>
      <c r="C55" s="109"/>
      <c r="D55" s="139"/>
    </row>
    <row r="56" spans="1:6" ht="15.75" thickBot="1" x14ac:dyDescent="0.3">
      <c r="A56" s="113" t="s">
        <v>99</v>
      </c>
      <c r="B56" s="116"/>
      <c r="C56" s="115">
        <f>SUM(C52:C55)</f>
        <v>-7648656</v>
      </c>
      <c r="D56" s="142">
        <f>SUM(D52:D55)</f>
        <v>5979934</v>
      </c>
    </row>
    <row r="57" spans="1:6" x14ac:dyDescent="0.25">
      <c r="A57" s="110"/>
      <c r="B57" s="109"/>
      <c r="C57" s="109"/>
      <c r="D57" s="139"/>
    </row>
    <row r="58" spans="1:6" x14ac:dyDescent="0.25">
      <c r="A58" s="110" t="s">
        <v>100</v>
      </c>
      <c r="B58" s="109"/>
      <c r="C58" s="112">
        <f>SUM(C56,C44,C38)</f>
        <v>-3063050</v>
      </c>
      <c r="D58" s="143">
        <f>SUM(D56,D44,D38)</f>
        <v>3209647</v>
      </c>
    </row>
    <row r="59" spans="1:6" ht="21" x14ac:dyDescent="0.25">
      <c r="A59" s="117" t="s">
        <v>101</v>
      </c>
      <c r="B59" s="109"/>
      <c r="C59" s="112">
        <f>ROUND([2]CFS!AK56,0)</f>
        <v>-2888</v>
      </c>
      <c r="D59" s="144">
        <v>-63970</v>
      </c>
    </row>
    <row r="60" spans="1:6" ht="15.75" thickBot="1" x14ac:dyDescent="0.3">
      <c r="A60" s="118" t="s">
        <v>102</v>
      </c>
      <c r="B60" s="116"/>
      <c r="C60" s="115">
        <f>SUM(C58:C59)</f>
        <v>-3065938</v>
      </c>
      <c r="D60" s="142">
        <f>SUM(D58:D59)</f>
        <v>3145677</v>
      </c>
      <c r="E60" s="126"/>
      <c r="F60" s="126"/>
    </row>
    <row r="61" spans="1:6" x14ac:dyDescent="0.25">
      <c r="A61" s="110"/>
      <c r="B61" s="109"/>
      <c r="C61" s="109"/>
      <c r="D61" s="139"/>
    </row>
    <row r="62" spans="1:6" ht="15.75" thickBot="1" x14ac:dyDescent="0.3">
      <c r="A62" s="119" t="s">
        <v>103</v>
      </c>
      <c r="B62" s="114">
        <v>13</v>
      </c>
      <c r="C62" s="120">
        <f>[2]SFP!E4</f>
        <v>3208528</v>
      </c>
      <c r="D62" s="145">
        <v>604583</v>
      </c>
    </row>
    <row r="63" spans="1:6" ht="15.75" thickBot="1" x14ac:dyDescent="0.3">
      <c r="A63" s="121" t="s">
        <v>104</v>
      </c>
      <c r="B63" s="122">
        <v>13</v>
      </c>
      <c r="C63" s="123">
        <f>SUM(C60:C62)</f>
        <v>142590</v>
      </c>
      <c r="D63" s="146">
        <v>3750260</v>
      </c>
    </row>
    <row r="64" spans="1:6" ht="15.75" thickTop="1" x14ac:dyDescent="0.25"/>
    <row r="65" spans="1:4" x14ac:dyDescent="0.25">
      <c r="A65" s="124"/>
      <c r="C65" s="125" t="b">
        <f>C63=[2]SFP!D4</f>
        <v>1</v>
      </c>
      <c r="D65" s="147"/>
    </row>
    <row r="67" spans="1:4" x14ac:dyDescent="0.25">
      <c r="A67" s="29" t="s">
        <v>22</v>
      </c>
      <c r="B67" s="11"/>
      <c r="C67" s="15"/>
      <c r="D67" s="148"/>
    </row>
    <row r="68" spans="1:4" x14ac:dyDescent="0.25">
      <c r="A68" s="29"/>
      <c r="B68" s="11"/>
      <c r="C68" s="15"/>
      <c r="D68" s="148"/>
    </row>
    <row r="69" spans="1:4" x14ac:dyDescent="0.25">
      <c r="A69" s="60"/>
      <c r="B69" s="11"/>
      <c r="C69" s="34"/>
      <c r="D69" s="149"/>
    </row>
    <row r="70" spans="1:4" x14ac:dyDescent="0.25">
      <c r="A70" s="36" t="s">
        <v>23</v>
      </c>
      <c r="B70" s="11"/>
      <c r="C70" s="36" t="s">
        <v>24</v>
      </c>
      <c r="D70" s="148"/>
    </row>
    <row r="71" spans="1:4" x14ac:dyDescent="0.25">
      <c r="A71" s="62" t="s">
        <v>25</v>
      </c>
      <c r="B71" s="11"/>
      <c r="C71" s="36" t="s">
        <v>26</v>
      </c>
      <c r="D71" s="148"/>
    </row>
  </sheetData>
  <mergeCells count="5">
    <mergeCell ref="A6:A8"/>
    <mergeCell ref="B6:B8"/>
    <mergeCell ref="E6:E8"/>
    <mergeCell ref="A47:A50"/>
    <mergeCell ref="B47:B50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tabColor rgb="FF7030A0"/>
    <pageSetUpPr fitToPage="1"/>
  </sheetPr>
  <dimension ref="A1:L31"/>
  <sheetViews>
    <sheetView topLeftCell="A16" workbookViewId="0">
      <selection activeCell="B17" sqref="B17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7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5">
      <c r="A2" s="37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1" x14ac:dyDescent="0.25">
      <c r="A4" s="63"/>
      <c r="B4" s="64" t="s">
        <v>55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3"/>
      <c r="B5" s="65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73"/>
      <c r="B6" s="74" t="s">
        <v>3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73.5" x14ac:dyDescent="0.25">
      <c r="A7" s="73"/>
      <c r="B7" s="77"/>
      <c r="C7" s="78"/>
      <c r="D7" s="79" t="s">
        <v>56</v>
      </c>
      <c r="E7" s="79"/>
      <c r="F7" s="79" t="s">
        <v>57</v>
      </c>
      <c r="G7" s="79"/>
      <c r="H7" s="79" t="s">
        <v>58</v>
      </c>
      <c r="I7" s="79"/>
      <c r="J7" s="79" t="s">
        <v>59</v>
      </c>
      <c r="K7" s="79"/>
      <c r="L7" s="80" t="s">
        <v>60</v>
      </c>
    </row>
    <row r="8" spans="1:12" ht="15.75" thickBot="1" x14ac:dyDescent="0.3">
      <c r="A8" s="63"/>
      <c r="B8" s="81">
        <v>44197</v>
      </c>
      <c r="C8" s="82"/>
      <c r="D8" s="83">
        <v>11240188</v>
      </c>
      <c r="E8" s="83"/>
      <c r="F8" s="83">
        <v>0</v>
      </c>
      <c r="G8" s="83"/>
      <c r="H8" s="83">
        <v>139146</v>
      </c>
      <c r="I8" s="83"/>
      <c r="J8" s="83">
        <v>14253738.667229999</v>
      </c>
      <c r="K8" s="83">
        <v>0</v>
      </c>
      <c r="L8" s="83">
        <f>D8+F8+H8+J8</f>
        <v>25633072.667229999</v>
      </c>
    </row>
    <row r="9" spans="1:12" x14ac:dyDescent="0.25">
      <c r="A9" s="63"/>
      <c r="B9" s="67"/>
      <c r="C9" s="63"/>
      <c r="D9" s="68"/>
      <c r="E9" s="68"/>
      <c r="F9" s="68"/>
      <c r="G9" s="68"/>
      <c r="H9" s="68"/>
      <c r="I9" s="68"/>
      <c r="J9" s="68"/>
      <c r="K9" s="68"/>
      <c r="L9" s="68"/>
    </row>
    <row r="10" spans="1:12" x14ac:dyDescent="0.25">
      <c r="A10" s="63"/>
      <c r="B10" s="70" t="s">
        <v>61</v>
      </c>
      <c r="C10" s="63"/>
      <c r="D10" s="66"/>
      <c r="E10" s="66"/>
      <c r="F10" s="66"/>
      <c r="G10" s="66"/>
      <c r="H10" s="66"/>
      <c r="I10" s="66"/>
      <c r="J10" s="69">
        <v>2859461.6963599999</v>
      </c>
      <c r="K10" s="66"/>
      <c r="L10" s="69">
        <f>D10+F10+H10+J10</f>
        <v>2859461.6963599999</v>
      </c>
    </row>
    <row r="11" spans="1:12" x14ac:dyDescent="0.25">
      <c r="A11" s="63"/>
      <c r="B11" s="70" t="s">
        <v>62</v>
      </c>
      <c r="C11" s="63"/>
      <c r="D11" s="66"/>
      <c r="E11" s="66"/>
      <c r="F11" s="66"/>
      <c r="G11" s="66"/>
      <c r="H11" s="69">
        <v>-20611.509569999995</v>
      </c>
      <c r="I11" s="66"/>
      <c r="J11" s="66"/>
      <c r="K11" s="66"/>
      <c r="L11" s="69">
        <f t="shared" ref="L11:L12" si="0">D11+F11+H11+J11</f>
        <v>-20611.509569999995</v>
      </c>
    </row>
    <row r="12" spans="1:12" x14ac:dyDescent="0.25">
      <c r="A12" s="63"/>
      <c r="B12" s="85" t="s">
        <v>65</v>
      </c>
      <c r="C12" s="78"/>
      <c r="D12" s="86"/>
      <c r="E12" s="86"/>
      <c r="F12" s="86"/>
      <c r="G12" s="86"/>
      <c r="H12" s="86"/>
      <c r="I12" s="86"/>
      <c r="J12" s="87">
        <v>-3338414.2594599994</v>
      </c>
      <c r="K12" s="86"/>
      <c r="L12" s="87">
        <f t="shared" si="0"/>
        <v>-3338414.2594599994</v>
      </c>
    </row>
    <row r="13" spans="1:12" x14ac:dyDescent="0.25">
      <c r="A13" s="63"/>
      <c r="B13" s="70"/>
      <c r="C13" s="63"/>
      <c r="D13" s="66"/>
      <c r="E13" s="66"/>
      <c r="F13" s="66"/>
      <c r="G13" s="66"/>
      <c r="H13" s="66"/>
      <c r="I13" s="66"/>
      <c r="J13" s="69"/>
      <c r="K13" s="66"/>
      <c r="L13" s="69">
        <v>0</v>
      </c>
    </row>
    <row r="14" spans="1:12" ht="15.75" thickBot="1" x14ac:dyDescent="0.3">
      <c r="A14" s="63"/>
      <c r="B14" s="81">
        <v>44377</v>
      </c>
      <c r="C14" s="82"/>
      <c r="D14" s="83">
        <f>D8+D10+D11+D12</f>
        <v>11240188</v>
      </c>
      <c r="E14" s="83"/>
      <c r="F14" s="83">
        <f>F8+F10+F11+F12</f>
        <v>0</v>
      </c>
      <c r="G14" s="83"/>
      <c r="H14" s="83">
        <f>H8+H10+H11+H12</f>
        <v>118534.49043000001</v>
      </c>
      <c r="I14" s="83"/>
      <c r="J14" s="83">
        <f>J8+J10+J11+J12</f>
        <v>13774786.10413</v>
      </c>
      <c r="K14" s="83">
        <v>0</v>
      </c>
      <c r="L14" s="83">
        <f>D14+F14+H14+J14</f>
        <v>25133508.594559997</v>
      </c>
    </row>
    <row r="15" spans="1:12" x14ac:dyDescent="0.25">
      <c r="A15" s="73"/>
      <c r="B15" s="75"/>
      <c r="C15" s="73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73.5" x14ac:dyDescent="0.25">
      <c r="A16" s="73"/>
      <c r="B16" s="77"/>
      <c r="C16" s="78"/>
      <c r="D16" s="79" t="s">
        <v>56</v>
      </c>
      <c r="E16" s="79"/>
      <c r="F16" s="79" t="s">
        <v>57</v>
      </c>
      <c r="G16" s="79"/>
      <c r="H16" s="79" t="s">
        <v>58</v>
      </c>
      <c r="I16" s="79"/>
      <c r="J16" s="79" t="s">
        <v>59</v>
      </c>
      <c r="K16" s="79"/>
      <c r="L16" s="80" t="s">
        <v>60</v>
      </c>
    </row>
    <row r="17" spans="1:12" ht="15.75" thickBot="1" x14ac:dyDescent="0.3">
      <c r="A17" s="73"/>
      <c r="B17" s="81">
        <v>43831</v>
      </c>
      <c r="C17" s="82"/>
      <c r="D17" s="83">
        <v>4099259</v>
      </c>
      <c r="E17" s="83"/>
      <c r="F17" s="83">
        <v>7140929</v>
      </c>
      <c r="G17" s="83"/>
      <c r="H17" s="83">
        <v>139929</v>
      </c>
      <c r="I17" s="83"/>
      <c r="J17" s="83">
        <v>10688599</v>
      </c>
      <c r="K17" s="84"/>
      <c r="L17" s="83">
        <f>D17+F17+H17+J17</f>
        <v>22068716</v>
      </c>
    </row>
    <row r="18" spans="1:12" x14ac:dyDescent="0.25">
      <c r="A18" s="63"/>
      <c r="B18" s="63"/>
      <c r="C18" s="63"/>
      <c r="D18" s="69"/>
      <c r="E18" s="66"/>
      <c r="F18" s="69"/>
      <c r="G18" s="66"/>
      <c r="H18" s="69"/>
      <c r="I18" s="66"/>
      <c r="J18" s="69"/>
      <c r="K18" s="66"/>
      <c r="L18" s="69"/>
    </row>
    <row r="19" spans="1:12" x14ac:dyDescent="0.25">
      <c r="A19" s="63"/>
      <c r="B19" s="70" t="s">
        <v>61</v>
      </c>
      <c r="C19" s="63"/>
      <c r="D19" s="66"/>
      <c r="E19" s="66"/>
      <c r="F19" s="66"/>
      <c r="G19" s="66"/>
      <c r="H19" s="66"/>
      <c r="I19" s="66"/>
      <c r="J19" s="69">
        <v>1339968</v>
      </c>
      <c r="K19" s="66"/>
      <c r="L19" s="69">
        <f t="shared" ref="L19:L22" si="1">D19+F19+H19+J19</f>
        <v>1339968</v>
      </c>
    </row>
    <row r="20" spans="1:12" x14ac:dyDescent="0.25">
      <c r="A20" s="63"/>
      <c r="B20" s="70" t="s">
        <v>62</v>
      </c>
      <c r="C20" s="63"/>
      <c r="D20" s="66"/>
      <c r="E20" s="66"/>
      <c r="F20" s="66"/>
      <c r="G20" s="66"/>
      <c r="H20" s="69">
        <v>-62089</v>
      </c>
      <c r="I20" s="66"/>
      <c r="J20" s="66"/>
      <c r="K20" s="66"/>
      <c r="L20" s="69">
        <f t="shared" si="1"/>
        <v>-62089</v>
      </c>
    </row>
    <row r="21" spans="1:12" ht="21" x14ac:dyDescent="0.25">
      <c r="A21" s="63"/>
      <c r="B21" s="70" t="s">
        <v>63</v>
      </c>
      <c r="C21" s="63"/>
      <c r="D21" s="66">
        <v>7140929</v>
      </c>
      <c r="E21" s="66"/>
      <c r="F21" s="66">
        <v>-7140929</v>
      </c>
      <c r="G21" s="66"/>
      <c r="H21" s="66"/>
      <c r="I21" s="66"/>
      <c r="J21" s="66">
        <v>-3</v>
      </c>
      <c r="K21" s="66"/>
      <c r="L21" s="69">
        <f t="shared" si="1"/>
        <v>-3</v>
      </c>
    </row>
    <row r="22" spans="1:12" x14ac:dyDescent="0.25">
      <c r="A22" s="63"/>
      <c r="B22" s="85" t="s">
        <v>64</v>
      </c>
      <c r="C22" s="78"/>
      <c r="D22" s="86"/>
      <c r="E22" s="86"/>
      <c r="F22" s="86"/>
      <c r="G22" s="86"/>
      <c r="H22" s="86"/>
      <c r="I22" s="86"/>
      <c r="J22" s="87"/>
      <c r="K22" s="86"/>
      <c r="L22" s="87">
        <f t="shared" si="1"/>
        <v>0</v>
      </c>
    </row>
    <row r="23" spans="1:12" x14ac:dyDescent="0.25">
      <c r="A23" s="63"/>
      <c r="B23" s="70"/>
      <c r="C23" s="63"/>
      <c r="D23" s="66"/>
      <c r="E23" s="66"/>
      <c r="F23" s="66"/>
      <c r="G23" s="66"/>
      <c r="H23" s="66"/>
      <c r="I23" s="66"/>
      <c r="J23" s="69"/>
      <c r="K23" s="66"/>
      <c r="L23" s="69"/>
    </row>
    <row r="24" spans="1:12" ht="15.75" thickBot="1" x14ac:dyDescent="0.3">
      <c r="A24" s="63"/>
      <c r="B24" s="81">
        <v>44012</v>
      </c>
      <c r="C24" s="82"/>
      <c r="D24" s="83">
        <f>D17+D20+D21+D22</f>
        <v>11240188</v>
      </c>
      <c r="E24" s="83"/>
      <c r="F24" s="83">
        <f>F17+F20+F21+F22</f>
        <v>0</v>
      </c>
      <c r="G24" s="83"/>
      <c r="H24" s="83">
        <f>H17+H20+H21+H22+H19</f>
        <v>77840</v>
      </c>
      <c r="I24" s="83"/>
      <c r="J24" s="83">
        <f>J17+J20+J21+J22+J19</f>
        <v>12028564</v>
      </c>
      <c r="K24" s="83">
        <v>0</v>
      </c>
      <c r="L24" s="83">
        <f>D24+F24+H24+J24</f>
        <v>23346592</v>
      </c>
    </row>
    <row r="25" spans="1:12" x14ac:dyDescent="0.25">
      <c r="A25" s="63"/>
      <c r="B25" s="63"/>
      <c r="C25" s="63"/>
      <c r="D25" s="71">
        <v>0</v>
      </c>
      <c r="E25" s="72"/>
      <c r="F25" s="71">
        <v>0</v>
      </c>
      <c r="G25" s="72"/>
      <c r="H25" s="71">
        <v>0</v>
      </c>
      <c r="I25" s="72"/>
      <c r="J25" s="71">
        <v>-4.1130000725388527E-2</v>
      </c>
      <c r="K25" s="72"/>
      <c r="L25" s="71">
        <v>0.18042000010609627</v>
      </c>
    </row>
    <row r="26" spans="1:12" x14ac:dyDescent="0.25">
      <c r="A26" s="63"/>
      <c r="B26" s="29" t="s">
        <v>22</v>
      </c>
      <c r="C26" s="63"/>
      <c r="D26" s="63"/>
      <c r="E26" s="63"/>
      <c r="F26" s="63"/>
      <c r="G26" s="63"/>
      <c r="H26" s="15"/>
      <c r="I26" s="63"/>
      <c r="J26" s="63"/>
      <c r="K26" s="63"/>
      <c r="L26" s="63"/>
    </row>
    <row r="27" spans="1:12" x14ac:dyDescent="0.25">
      <c r="A27" s="63"/>
      <c r="B27" s="29"/>
      <c r="C27" s="63"/>
      <c r="D27" s="63"/>
      <c r="E27" s="63"/>
      <c r="F27" s="63"/>
      <c r="G27" s="63"/>
      <c r="H27" s="15"/>
      <c r="I27" s="63"/>
      <c r="J27" s="63"/>
      <c r="K27" s="63"/>
      <c r="L27" s="63"/>
    </row>
    <row r="28" spans="1:12" x14ac:dyDescent="0.25">
      <c r="A28" s="63"/>
      <c r="B28" s="60"/>
      <c r="C28" s="63"/>
      <c r="D28" s="63"/>
      <c r="E28" s="63"/>
      <c r="F28" s="63"/>
      <c r="G28" s="63"/>
      <c r="H28" s="34"/>
      <c r="I28" s="63"/>
      <c r="J28" s="63"/>
      <c r="K28" s="63"/>
      <c r="L28" s="63"/>
    </row>
    <row r="29" spans="1:12" x14ac:dyDescent="0.25">
      <c r="A29" s="63"/>
      <c r="B29" s="36" t="s">
        <v>23</v>
      </c>
      <c r="C29" s="63"/>
      <c r="D29" s="63"/>
      <c r="E29" s="63"/>
      <c r="F29" s="63"/>
      <c r="G29" s="63"/>
      <c r="H29" s="36" t="s">
        <v>24</v>
      </c>
      <c r="I29" s="63"/>
      <c r="J29" s="63"/>
      <c r="K29" s="63"/>
      <c r="L29" s="63"/>
    </row>
    <row r="30" spans="1:12" ht="22.5" x14ac:dyDescent="0.25">
      <c r="A30" s="63"/>
      <c r="B30" s="62" t="s">
        <v>25</v>
      </c>
      <c r="C30" s="63"/>
      <c r="D30" s="63"/>
      <c r="E30" s="63"/>
      <c r="F30" s="63"/>
      <c r="G30" s="63"/>
      <c r="H30" s="36" t="s">
        <v>26</v>
      </c>
      <c r="I30" s="63"/>
      <c r="J30" s="63"/>
      <c r="K30" s="63"/>
      <c r="L30" s="63"/>
    </row>
    <row r="31" spans="1:12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Antonova Natalya</cp:lastModifiedBy>
  <cp:lastPrinted>2021-08-13T04:04:03Z</cp:lastPrinted>
  <dcterms:created xsi:type="dcterms:W3CDTF">2021-08-12T10:42:32Z</dcterms:created>
  <dcterms:modified xsi:type="dcterms:W3CDTF">2021-08-26T10:10:52Z</dcterms:modified>
</cp:coreProperties>
</file>