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215" tabRatio="729" activeTab="1"/>
  </bookViews>
  <sheets>
    <sheet name="Отчет о фин.полож. " sheetId="2" r:id="rId1"/>
    <sheet name="опиу" sheetId="14" r:id="rId2"/>
    <sheet name="Отчет о совокуп.доходе " sheetId="1" state="hidden" r:id="rId3"/>
    <sheet name="Отчет ДДС " sheetId="3" r:id="rId4"/>
    <sheet name="Отчет об измен.в кап. " sheetId="4" r:id="rId5"/>
    <sheet name="Лист4" sheetId="12" state="hidden" r:id="rId6"/>
    <sheet name="Лист5" sheetId="13" state="hidden" r:id="rId7"/>
    <sheet name="ПЗ" sheetId="5" state="hidden" r:id="rId8"/>
  </sheets>
  <definedNames>
    <definedName name="_Hlk87975267" localSheetId="2">'Отчет о совокуп.доходе '!$A$18</definedName>
    <definedName name="_Hlk87976989" localSheetId="2">'Отчет о совокуп.доходе '!#REF!</definedName>
    <definedName name="_xlnm.Print_Area" localSheetId="0">'Отчет о фин.полож. '!$A$1:$E$50</definedName>
  </definedNames>
  <calcPr calcId="144525"/>
</workbook>
</file>

<file path=xl/sharedStrings.xml><?xml version="1.0" encoding="utf-8"?>
<sst xmlns="http://schemas.openxmlformats.org/spreadsheetml/2006/main" count="423" uniqueCount="285">
  <si>
    <t>ТОО "FinQ"</t>
  </si>
  <si>
    <t>ОТЧЕТ О ФИНАНСОВОМ ПОЛОЖЕНИИ 
по состоянию на 30.06.2023 года</t>
  </si>
  <si>
    <t>В тысячах тенге</t>
  </si>
  <si>
    <t>прим.</t>
  </si>
  <si>
    <t>на 30.06.2023 г.</t>
  </si>
  <si>
    <t>на 31.12.2022г.</t>
  </si>
  <si>
    <t>АКТИВЫ</t>
  </si>
  <si>
    <t>Краткосрочные активы</t>
  </si>
  <si>
    <t>Денежные средства и эквиваленты денежных средств</t>
  </si>
  <si>
    <t>Торговая и прочая дебиторская задолженность</t>
  </si>
  <si>
    <t>Ценные бумаги, оцениваемые по праведливой стоимости через прибыли и убытки</t>
  </si>
  <si>
    <t>Краткосрочные займы выданные</t>
  </si>
  <si>
    <t>Активы по текущему налогу</t>
  </si>
  <si>
    <t>Запасы</t>
  </si>
  <si>
    <t>Прочие активы</t>
  </si>
  <si>
    <t>Итого краткосрочные активы</t>
  </si>
  <si>
    <t xml:space="preserve"> </t>
  </si>
  <si>
    <t>Долгосрочные активы</t>
  </si>
  <si>
    <t xml:space="preserve">Нематериальные активы     </t>
  </si>
  <si>
    <t>Основные средства</t>
  </si>
  <si>
    <t>Долгосрочные займы выданные</t>
  </si>
  <si>
    <t>Отложенные налоговые активы</t>
  </si>
  <si>
    <t>Итого долгосрочные активы</t>
  </si>
  <si>
    <t>ВСЕГО АКТИВЫ</t>
  </si>
  <si>
    <t>КАПИТАЛ И ОБЯЗАТЕЛЬСТВА</t>
  </si>
  <si>
    <t>Краткосрочные обязательства</t>
  </si>
  <si>
    <t>Торговая и прочая кредиторская задолженность</t>
  </si>
  <si>
    <t>Обязательства по налогам</t>
  </si>
  <si>
    <t>Обязательства по другим обязательным платежам</t>
  </si>
  <si>
    <t>Резервы</t>
  </si>
  <si>
    <t>Обязательства по вознаграждениям</t>
  </si>
  <si>
    <t>Прочие обязательства</t>
  </si>
  <si>
    <t>Итого краткосрочные обязательства</t>
  </si>
  <si>
    <t>Долгосрочные обязательства</t>
  </si>
  <si>
    <t>Отложенные налоговые обязательства</t>
  </si>
  <si>
    <t>Займы полученные</t>
  </si>
  <si>
    <t>Долговые ценные бумаги выпущенные</t>
  </si>
  <si>
    <t>Итого долгосрочные обязательства</t>
  </si>
  <si>
    <t>ВСЕГО ОБЯЗАТЕЛЬСТВА</t>
  </si>
  <si>
    <t>КАПИТАЛ</t>
  </si>
  <si>
    <t>Уставный капитал</t>
  </si>
  <si>
    <t>Нераспределенная прибыль</t>
  </si>
  <si>
    <t>Итого капитал</t>
  </si>
  <si>
    <t>ВСЕГО КАПИТАЛ И ОБЯЗАТЕЛЬСТВА</t>
  </si>
  <si>
    <t>Генеральный директор</t>
  </si>
  <si>
    <t>Главный Бухгалтер</t>
  </si>
  <si>
    <t>Ли В. В. ________________</t>
  </si>
  <si>
    <t>Жұкеш Г. Қ._______________</t>
  </si>
  <si>
    <t>Пояснительные примечания составляют неотъемлемую часть данной финансовой отчетности</t>
  </si>
  <si>
    <t>ОТЧЕТ О ПРИБЫЛИ ИЛИ УБЫТКЕ И ПРОЧЕМ СОВОКУПНОМ ДОХОДЕ
по состоянию на 30.06.2023 года.</t>
  </si>
  <si>
    <t>на 30.06.2022 г.</t>
  </si>
  <si>
    <t>Выручка</t>
  </si>
  <si>
    <t xml:space="preserve">Общие и административные расходы </t>
  </si>
  <si>
    <t>Прочие доходы/ (расходы)</t>
  </si>
  <si>
    <t>Операционный доход</t>
  </si>
  <si>
    <t>Доходы/ расходы от финансирования</t>
  </si>
  <si>
    <t>Доходы/ убытки от изменения справедливой стоимости ценных бумаг, оцениваемых по справедливой стоимости черех прибыли и убытки</t>
  </si>
  <si>
    <t xml:space="preserve">Убыток до налогообложения  </t>
  </si>
  <si>
    <t>Расходы по налогу на прибыль</t>
  </si>
  <si>
    <t>Прибыль за год</t>
  </si>
  <si>
    <t>Прочий совокупный убыток</t>
  </si>
  <si>
    <t xml:space="preserve">    </t>
  </si>
  <si>
    <t>-</t>
  </si>
  <si>
    <t>Итого совокупный доход за отчетный период, за вычетом налога на прибыль</t>
  </si>
  <si>
    <t>Главный бухгалтер</t>
  </si>
  <si>
    <t>на 30.06.2023г.</t>
  </si>
  <si>
    <t>на 30.06.2022г.</t>
  </si>
  <si>
    <t>Процентные доходы</t>
  </si>
  <si>
    <t>Процентные расходы</t>
  </si>
  <si>
    <t xml:space="preserve">Доходы (расходы) от изменения стоимости ценных бумаг, учитываемых по ССПУ  </t>
  </si>
  <si>
    <t>Прочие доходы/(расходы</t>
  </si>
  <si>
    <t>Операционный убыток</t>
  </si>
  <si>
    <t>Прочие доходы</t>
  </si>
  <si>
    <t xml:space="preserve">Прибыль/(убыток) до налогообложения  </t>
  </si>
  <si>
    <t>Ли В.В._____________</t>
  </si>
  <si>
    <t>Жұкеш Г. Қ.</t>
  </si>
  <si>
    <t>04.08.2023 г.</t>
  </si>
  <si>
    <t>ОТЧЕТ О ДВИЖЕНИИ ДЕНЕЖНЫХ СРЕДСТВ
 по состоянию на 30.06.2023 года</t>
  </si>
  <si>
    <t>Денежные потоки от операционной деятельности</t>
  </si>
  <si>
    <t>Платежи по факторинговым операциям</t>
  </si>
  <si>
    <t xml:space="preserve">Авансы, выданные </t>
  </si>
  <si>
    <t>Выплаты по заработной плате</t>
  </si>
  <si>
    <t>Платежи по операциям РЕПО</t>
  </si>
  <si>
    <t>Предоставление займов</t>
  </si>
  <si>
    <t>Расчеты с поставщиками и подрядчиками</t>
  </si>
  <si>
    <t>Расчеты с бюджетом</t>
  </si>
  <si>
    <t>Проценты полученные</t>
  </si>
  <si>
    <t>Проценты выплаченные</t>
  </si>
  <si>
    <t>Чистые денежные потоки от операционной деятельности</t>
  </si>
  <si>
    <t>Денежные потоки от инвестиционной деятельности</t>
  </si>
  <si>
    <t>Приобретение основных средств</t>
  </si>
  <si>
    <t>Приобретение нематериальных активов</t>
  </si>
  <si>
    <t>Операции по вкладам в банках</t>
  </si>
  <si>
    <t>Операции по ценным бумагам</t>
  </si>
  <si>
    <t>Чистые денежные потоки, использованные в инвестиционной деятельности</t>
  </si>
  <si>
    <t>Денежные потоки от финансовой деятельности</t>
  </si>
  <si>
    <t>Взнос в устанвый капитал</t>
  </si>
  <si>
    <t>Получение займов</t>
  </si>
  <si>
    <t>Погашение займов</t>
  </si>
  <si>
    <t>Выпуск облигаций</t>
  </si>
  <si>
    <t>Выплата дивиденд</t>
  </si>
  <si>
    <t>Чистые денежные потоки, использованные в финансовой деятельности</t>
  </si>
  <si>
    <t>Чистая курсовая разница</t>
  </si>
  <si>
    <t xml:space="preserve">Чистое увеличение / уменьшение денежных средств </t>
  </si>
  <si>
    <t>Влияние ожидаемых кредитных убытков</t>
  </si>
  <si>
    <t>Денежные средства и их эквиваленты на начало года</t>
  </si>
  <si>
    <t>Денежные средства и их эквиваленты на конец периода</t>
  </si>
  <si>
    <t xml:space="preserve">ОТЧЕТ ОБ ИЗМЕНЕНИЯХ В КАПИТАЛЕ  
 по состоянию на 30.06.2023 года </t>
  </si>
  <si>
    <t xml:space="preserve">Уставный капитал </t>
  </si>
  <si>
    <t xml:space="preserve">Нераспределеный убыток </t>
  </si>
  <si>
    <t xml:space="preserve">Итого </t>
  </si>
  <si>
    <t>На 31 декабря 2021 г.</t>
  </si>
  <si>
    <t xml:space="preserve">Взнос в уставный капитал </t>
  </si>
  <si>
    <t>Прибыль/(убыток) за год</t>
  </si>
  <si>
    <t>Выплата дивидендов</t>
  </si>
  <si>
    <t>На 31 декабря 2022 г.</t>
  </si>
  <si>
    <t>Прибыль/(убыток) за период</t>
  </si>
  <si>
    <t>На 30 июня 2023 г.</t>
  </si>
  <si>
    <t>Товарищество с ограниченной ответственностью "FinQ</t>
  </si>
  <si>
    <t>Оборотно-сальдовая ведомость  за Июнь 2023 г.</t>
  </si>
  <si>
    <t>Выводимые данные:</t>
  </si>
  <si>
    <t>БУ (данные бухгалтерского учета)</t>
  </si>
  <si>
    <t>Счет, Наименование</t>
  </si>
  <si>
    <t>Сальдо на начало периода</t>
  </si>
  <si>
    <t>Обороты за период</t>
  </si>
  <si>
    <t>Сальдо на конец периода</t>
  </si>
  <si>
    <t>Дебет</t>
  </si>
  <si>
    <t>Кредит</t>
  </si>
  <si>
    <t>1030, Денежные средства на текущих банковских счетах</t>
  </si>
  <si>
    <t>1050, Денежные средства на сберегательных счетах</t>
  </si>
  <si>
    <t>1080, Прочие денежные средства</t>
  </si>
  <si>
    <t>1090, Оценочный резерв под убытки от обесценения денежных средств</t>
  </si>
  <si>
    <t>1110, Краткосрочные финансовые активы, оцениваемые по амортизированной стоимости</t>
  </si>
  <si>
    <t>1112, Дисконт по краткосрочным финансовым активам, оцениваемым по амортизированной стоимости</t>
  </si>
  <si>
    <t>1151, Краткосрочные вознаграждения к получению по предоставленным займам контрагентам</t>
  </si>
  <si>
    <t>1153, Краткосрочные вознаграждения к получению по размещенным депозитам</t>
  </si>
  <si>
    <t>1210, Краткосрочная дебиторская задолженность покупателей и заказчиков</t>
  </si>
  <si>
    <t>1251, Краткосрочная задолженность подотчетных лиц</t>
  </si>
  <si>
    <t>1274, Прочая краткосрочная дебиторская задолженность</t>
  </si>
  <si>
    <t>АО "Казахстанская фондовая биржа"</t>
  </si>
  <si>
    <t>1280, Оценочный резерв под убытки от обесценения краткосрочной дебиторской задолженности</t>
  </si>
  <si>
    <t>1310, Сырье и материалы</t>
  </si>
  <si>
    <t>1330, Товары</t>
  </si>
  <si>
    <t>1410, Корпоративный подоходный налог</t>
  </si>
  <si>
    <t>1421, Налог на добавленную стоимость  к возмещению</t>
  </si>
  <si>
    <t>1422, Налог на добавленную стоимость (отложенное принятие к зачету)</t>
  </si>
  <si>
    <t>1710, Краткосрочные авансы выданные</t>
  </si>
  <si>
    <t>1720, Расходы будущих периодов</t>
  </si>
  <si>
    <t>2010, Долгосрочные финансовые активы, оцениваемые по амортизированной стоимости</t>
  </si>
  <si>
    <t>2410, Основные средства</t>
  </si>
  <si>
    <t>2420, Амортизация основных средств</t>
  </si>
  <si>
    <t>2730, Прочие нематериальные активы</t>
  </si>
  <si>
    <t>2740, Амортизация прочих нематериальных активов</t>
  </si>
  <si>
    <t>3050, Краткосрочные вознаграждения к выплате</t>
  </si>
  <si>
    <t>3110, Корпоративный подоходный налог подлежащий уплате</t>
  </si>
  <si>
    <t>3120, Индивидуальный подоходный налог</t>
  </si>
  <si>
    <t>3130, Налог на добавленную стоимость</t>
  </si>
  <si>
    <t>3150, Социальный налог</t>
  </si>
  <si>
    <t>3211, Обязательства по социальным отчислениям</t>
  </si>
  <si>
    <t>3212, Обязательства по взносам на социальное медицинское страхование</t>
  </si>
  <si>
    <t>3213, Обязательства по отчислениям на социальное медицинское страхование</t>
  </si>
  <si>
    <t>3220, Обязательства по пенсионным отчислениям</t>
  </si>
  <si>
    <t>3310, Краткосрочная задолженность поставщикам и подрядчикам</t>
  </si>
  <si>
    <t>3350, Краткосрочная задолженность по оплате труда</t>
  </si>
  <si>
    <t>3386, Задолженность перед подотчетными лицами</t>
  </si>
  <si>
    <t>3387, Прочая краткосрочная кредиторская задолженность</t>
  </si>
  <si>
    <t>3430, Краткосрочные оценочные обязательства по вознаграждениям работникам</t>
  </si>
  <si>
    <t>4010, Долгосрочные финансовые обязательства, оцениваемые по амортизированной стоимости</t>
  </si>
  <si>
    <t>4012, Премия по долгосрочным финансовым обязательствам, оцениваемым по амортизированной стоимости</t>
  </si>
  <si>
    <t>4020, Долгосрочные финансовые обязательства, оцениваемые по справедливой стоимости через прибыль или убыток</t>
  </si>
  <si>
    <t>4022, Долгосрочные финансовые обязательства, оцениваемые по справедливой стоимости через прибыль или убыток</t>
  </si>
  <si>
    <t>4050, Долгосрочные вознаграждения к выплате</t>
  </si>
  <si>
    <t>4310, Отложенные налоговые обязательства по корпоративному подоходному налогу</t>
  </si>
  <si>
    <t>5030, Вклады и паи</t>
  </si>
  <si>
    <t>5610, Нераспределенная прибыль непокрытый убыток отчетного года</t>
  </si>
  <si>
    <t>5710, Итоговая прибыль итоговый убыток</t>
  </si>
  <si>
    <t>6010, Доход от реализации продукции и оказания услуг</t>
  </si>
  <si>
    <t>6110, Доходы по вознаграждениям</t>
  </si>
  <si>
    <t>6130, Доходы от финансовой аренды</t>
  </si>
  <si>
    <t>6160, Прочие доходы от финансирования</t>
  </si>
  <si>
    <t>6290, Прочие доходы</t>
  </si>
  <si>
    <t>7210, Административные расходы</t>
  </si>
  <si>
    <t>7212, Административные расходы невычет</t>
  </si>
  <si>
    <t>7310, Расходы по вознаграждениям</t>
  </si>
  <si>
    <t>7340, Прочие расходы на финансирование</t>
  </si>
  <si>
    <t>7480, Прочие расходы</t>
  </si>
  <si>
    <t>Итого</t>
  </si>
  <si>
    <t>Анализ счета 5710  за 1 полугодие 2023 г.</t>
  </si>
  <si>
    <t>Анализ счета 5710  за 1 полугодие 2022 г.</t>
  </si>
  <si>
    <t>Счет</t>
  </si>
  <si>
    <t>Кор. Счет</t>
  </si>
  <si>
    <t>5710</t>
  </si>
  <si>
    <t>Начальное сальдо</t>
  </si>
  <si>
    <t>5610</t>
  </si>
  <si>
    <t>6010</t>
  </si>
  <si>
    <t>6110</t>
  </si>
  <si>
    <t>6150</t>
  </si>
  <si>
    <t>6160</t>
  </si>
  <si>
    <t>6280</t>
  </si>
  <si>
    <t>6210</t>
  </si>
  <si>
    <t>7210</t>
  </si>
  <si>
    <t>7310</t>
  </si>
  <si>
    <t>6290</t>
  </si>
  <si>
    <t>7440</t>
  </si>
  <si>
    <t>7710</t>
  </si>
  <si>
    <t>7212</t>
  </si>
  <si>
    <t>Оборот</t>
  </si>
  <si>
    <t>Конечное сальдо</t>
  </si>
  <si>
    <t>7340</t>
  </si>
  <si>
    <t>7410</t>
  </si>
  <si>
    <t>7470</t>
  </si>
  <si>
    <t>7480</t>
  </si>
  <si>
    <t>1. Доход от факторинговых операций</t>
  </si>
  <si>
    <t>на 01.07.2023г.</t>
  </si>
  <si>
    <t>на 31.05.2022г.</t>
  </si>
  <si>
    <t>процентный доход</t>
  </si>
  <si>
    <t>Комиссия за факторинговое финансирование</t>
  </si>
  <si>
    <t>Комиссия за пользование ДС</t>
  </si>
  <si>
    <t>Структурное подразделение</t>
  </si>
  <si>
    <t>Статьи затрат</t>
  </si>
  <si>
    <t>2. Общие и административные расходы</t>
  </si>
  <si>
    <t>&lt;...&gt;</t>
  </si>
  <si>
    <t>Агентская комиссия</t>
  </si>
  <si>
    <t>На 31.12.2021</t>
  </si>
  <si>
    <t>Агентское вознаграждение</t>
  </si>
  <si>
    <t>Оплата труда работников</t>
  </si>
  <si>
    <t>Амортизация ФА</t>
  </si>
  <si>
    <t xml:space="preserve">        в т.ч. Премии разовые</t>
  </si>
  <si>
    <t>Аренда помещения</t>
  </si>
  <si>
    <t>Социальный налог</t>
  </si>
  <si>
    <t>Аренда программного обеспечения</t>
  </si>
  <si>
    <t>Отчисления на обязательное социальное медицинское страхование</t>
  </si>
  <si>
    <t>Аудиторские услуги</t>
  </si>
  <si>
    <t>Социальные отчисления</t>
  </si>
  <si>
    <t>Бухгалтерские услуги</t>
  </si>
  <si>
    <t>Расходы на резервы по отпускам</t>
  </si>
  <si>
    <t>Доступ к ДФО</t>
  </si>
  <si>
    <t>Услуги по поддержке сделок</t>
  </si>
  <si>
    <t>Информационные расходы</t>
  </si>
  <si>
    <t>Информационные услуги</t>
  </si>
  <si>
    <t xml:space="preserve">Комиссия брокера                                                                              </t>
  </si>
  <si>
    <t>Канцелярские товары</t>
  </si>
  <si>
    <t>Профессиональные услуги</t>
  </si>
  <si>
    <t>Командировочные расходы</t>
  </si>
  <si>
    <t>Комиссия банка</t>
  </si>
  <si>
    <t>Комиссия брокера</t>
  </si>
  <si>
    <t>Листинговый сбор</t>
  </si>
  <si>
    <t>Услуги банка</t>
  </si>
  <si>
    <t>НДС не принятый к зачету</t>
  </si>
  <si>
    <t>Почтовые услуги</t>
  </si>
  <si>
    <t>Отчисления ОСМС</t>
  </si>
  <si>
    <t>Услуги хостинга</t>
  </si>
  <si>
    <t>Офисные расходы</t>
  </si>
  <si>
    <t>Пользование доменом</t>
  </si>
  <si>
    <t>Прочие</t>
  </si>
  <si>
    <t>Почтовые и курьерские услуги</t>
  </si>
  <si>
    <t>Представительсние расходы</t>
  </si>
  <si>
    <t>привлечение клиентов</t>
  </si>
  <si>
    <t>Услуги связи и интернет</t>
  </si>
  <si>
    <t>Проживание</t>
  </si>
  <si>
    <t>Разработка сайта</t>
  </si>
  <si>
    <t>Прочие невычет</t>
  </si>
  <si>
    <t>Сопровождение и доработка 1С</t>
  </si>
  <si>
    <t>Прочие расходы</t>
  </si>
  <si>
    <t>итого</t>
  </si>
  <si>
    <t>Расходы на лицензии Microsoft 365</t>
  </si>
  <si>
    <t>3. Процентные доходы</t>
  </si>
  <si>
    <t>На 31.12.2021г.</t>
  </si>
  <si>
    <t>Операции РЕПО</t>
  </si>
  <si>
    <t>Вознаграждение по вкладам</t>
  </si>
  <si>
    <t>Списание материалов</t>
  </si>
  <si>
    <t>доход по Займам</t>
  </si>
  <si>
    <t>Страхование работников</t>
  </si>
  <si>
    <t>Услуги нотариуса</t>
  </si>
  <si>
    <t>4. Процентные расходы</t>
  </si>
  <si>
    <t>Услуги ЦД</t>
  </si>
  <si>
    <t>Займы</t>
  </si>
  <si>
    <t>Долговые ЦБ</t>
  </si>
  <si>
    <t>5. Доходы по ЦБ</t>
  </si>
  <si>
    <t>Простые акции АО НК КМГ " KZ1C00001122</t>
  </si>
  <si>
    <t>6. Прочие доходы/(расходы</t>
  </si>
  <si>
    <t>Расходы по провизиям</t>
  </si>
  <si>
    <t>7. Расходы по КПН</t>
  </si>
  <si>
    <t>КПН к уплате</t>
  </si>
  <si>
    <t xml:space="preserve">Отложенное налоговое обязательство </t>
  </si>
</sst>
</file>

<file path=xl/styles.xml><?xml version="1.0" encoding="utf-8"?>
<styleSheet xmlns="http://schemas.openxmlformats.org/spreadsheetml/2006/main">
  <numFmts count="12">
    <numFmt numFmtId="176" formatCode="_-* #\.##0.00\ &quot;₽&quot;_-;\-* #\.##0.00\ &quot;₽&quot;_-;_-* \-??\ &quot;₽&quot;_-;_-@_-"/>
    <numFmt numFmtId="177" formatCode="_-* #\.##0_-;\-* #\.##0_-;_-* &quot;-&quot;_-;_-@_-"/>
    <numFmt numFmtId="178" formatCode="_-* #\ ##0.00_-;\-* #\ ##0.00_-;_-* &quot;-&quot;??_-;_-@_-"/>
    <numFmt numFmtId="179" formatCode="_-* #\.##0\ &quot;₽&quot;_-;\-* #\.##0\ &quot;₽&quot;_-;_-* \-\ &quot;₽&quot;_-;_-@_-"/>
    <numFmt numFmtId="180" formatCode="_-* #\ ##0_-;\-* #\ ##0_-;_-* &quot;-&quot;??_-;_-@_-"/>
    <numFmt numFmtId="181" formatCode="#\ ##0.00"/>
    <numFmt numFmtId="182" formatCode="_ * #\ ##0.00_)\ _₽_ ;_ * \(#\ ##0.00\)\ _₽_ ;_ * &quot;-&quot;??_)\ _₽_ ;_ @_ "/>
    <numFmt numFmtId="183" formatCode="#\ ##0"/>
    <numFmt numFmtId="184" formatCode="_-* #\ ##0.00\ _₽_-;\-* #\ ##0.00\ _₽_-;_-* &quot;-&quot;??\ _₽_-;_-@_-"/>
    <numFmt numFmtId="185" formatCode="_-* #\ ##0\ _₽_-;\-* #\ ##0\ _₽_-;_-* &quot;-&quot;??\ _₽_-;_-@_-"/>
    <numFmt numFmtId="186" formatCode="#\ ##0.00;[Red]\-#\ ##0.00"/>
    <numFmt numFmtId="187" formatCode="#\ ##0."/>
  </numFmts>
  <fonts count="51">
    <font>
      <sz val="11"/>
      <color theme="1"/>
      <name val="Calibri"/>
      <charset val="134"/>
      <scheme val="minor"/>
    </font>
    <font>
      <b/>
      <sz val="11"/>
      <color theme="1"/>
      <name val="Calibri"/>
      <charset val="204"/>
      <scheme val="minor"/>
    </font>
    <font>
      <b/>
      <i/>
      <sz val="10"/>
      <color theme="1"/>
      <name val="Arial"/>
      <charset val="204"/>
    </font>
    <font>
      <b/>
      <i/>
      <sz val="10"/>
      <color theme="1"/>
      <name val="Times New Roman"/>
      <charset val="204"/>
    </font>
    <font>
      <sz val="10"/>
      <color theme="1"/>
      <name val="Calibri"/>
      <charset val="204"/>
      <scheme val="minor"/>
    </font>
    <font>
      <b/>
      <sz val="10"/>
      <color theme="1"/>
      <name val="Arial"/>
      <charset val="204"/>
    </font>
    <font>
      <sz val="12"/>
      <color theme="1"/>
      <name val="Times New Roman"/>
      <charset val="204"/>
    </font>
    <font>
      <b/>
      <sz val="12"/>
      <color theme="1"/>
      <name val="Times New Roman"/>
      <charset val="204"/>
    </font>
    <font>
      <i/>
      <sz val="10"/>
      <color theme="1"/>
      <name val="Calibri"/>
      <charset val="204"/>
      <scheme val="minor"/>
    </font>
    <font>
      <sz val="10"/>
      <color theme="1"/>
      <name val="Arial"/>
      <charset val="204"/>
    </font>
    <font>
      <sz val="9"/>
      <name val="Arial"/>
      <charset val="204"/>
    </font>
    <font>
      <sz val="9"/>
      <color indexed="24"/>
      <name val="Arial"/>
      <charset val="134"/>
    </font>
    <font>
      <sz val="9"/>
      <name val="Arial"/>
      <charset val="134"/>
    </font>
    <font>
      <b/>
      <sz val="10"/>
      <name val="Arial"/>
      <charset val="134"/>
    </font>
    <font>
      <b/>
      <sz val="12"/>
      <name val="Arial"/>
      <charset val="134"/>
    </font>
    <font>
      <b/>
      <sz val="9"/>
      <color rgb="FFFF0000"/>
      <name val="Arial"/>
      <charset val="204"/>
    </font>
    <font>
      <sz val="9"/>
      <color indexed="10"/>
      <name val="Arial"/>
      <charset val="134"/>
    </font>
    <font>
      <b/>
      <sz val="11"/>
      <color rgb="FFFF0000"/>
      <name val="Calibri"/>
      <charset val="204"/>
      <scheme val="minor"/>
    </font>
    <font>
      <b/>
      <sz val="11"/>
      <color theme="1"/>
      <name val="Calibri"/>
      <charset val="134"/>
      <scheme val="minor"/>
    </font>
    <font>
      <b/>
      <sz val="10"/>
      <color theme="1"/>
      <name val="Times New Roman"/>
      <charset val="204"/>
    </font>
    <font>
      <sz val="10"/>
      <color theme="1"/>
      <name val="Times New Roman"/>
      <charset val="204"/>
    </font>
    <font>
      <sz val="11"/>
      <color theme="1"/>
      <name val="Times New Roman"/>
      <charset val="204"/>
    </font>
    <font>
      <i/>
      <sz val="11"/>
      <color theme="1"/>
      <name val="Calibri"/>
      <charset val="204"/>
      <scheme val="minor"/>
    </font>
    <font>
      <b/>
      <sz val="10"/>
      <name val="Times New Roman"/>
      <charset val="204"/>
    </font>
    <font>
      <sz val="11"/>
      <name val="Calibri"/>
      <charset val="134"/>
      <scheme val="minor"/>
    </font>
    <font>
      <sz val="10"/>
      <color rgb="FF000000"/>
      <name val="Times New Roman"/>
      <charset val="204"/>
    </font>
    <font>
      <b/>
      <sz val="10"/>
      <color rgb="FF000000"/>
      <name val="Times New Roman"/>
      <charset val="204"/>
    </font>
    <font>
      <sz val="10"/>
      <name val="Times New Roman"/>
      <charset val="204"/>
    </font>
    <font>
      <b/>
      <sz val="9"/>
      <name val="Arial"/>
      <charset val="204"/>
    </font>
    <font>
      <sz val="11"/>
      <color theme="1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9C65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8"/>
      <name val="Arial"/>
      <charset val="134"/>
    </font>
    <font>
      <i/>
      <sz val="11"/>
      <color rgb="FF7F7F7F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sz val="10"/>
      <name val="Arial"/>
      <charset val="204"/>
    </font>
    <font>
      <sz val="10"/>
      <name val="MS Sans Serif"/>
      <charset val="204"/>
    </font>
  </fonts>
  <fills count="39">
    <fill>
      <patternFill patternType="none"/>
    </fill>
    <fill>
      <patternFill patternType="gray125"/>
    </fill>
    <fill>
      <patternFill patternType="solid">
        <fgColor indexed="2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3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  <diagonal/>
    </border>
    <border>
      <left style="thin">
        <color indexed="26"/>
      </left>
      <right style="thin">
        <color indexed="26"/>
      </right>
      <top style="thin">
        <color indexed="26"/>
      </top>
      <bottom/>
      <diagonal/>
    </border>
    <border>
      <left style="thin">
        <color indexed="26"/>
      </left>
      <right style="thin">
        <color indexed="26"/>
      </right>
      <top/>
      <bottom style="thin">
        <color indexed="26"/>
      </bottom>
      <diagonal/>
    </border>
    <border>
      <left style="thin">
        <color indexed="26"/>
      </left>
      <right/>
      <top/>
      <bottom style="thin">
        <color indexed="26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  <diagonal/>
    </border>
    <border>
      <left style="thin">
        <color indexed="29"/>
      </left>
      <right/>
      <top style="thin">
        <color indexed="29"/>
      </top>
      <bottom style="thin">
        <color indexed="29"/>
      </bottom>
      <diagonal/>
    </border>
    <border>
      <left style="thin">
        <color indexed="26"/>
      </left>
      <right/>
      <top style="thin">
        <color indexed="26"/>
      </top>
      <bottom style="thin">
        <color indexed="26"/>
      </bottom>
      <diagonal/>
    </border>
    <border>
      <left/>
      <right style="thin">
        <color indexed="26"/>
      </right>
      <top/>
      <bottom style="thin">
        <color indexed="26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29"/>
      </right>
      <top style="thin">
        <color indexed="29"/>
      </top>
      <bottom style="thin">
        <color indexed="29"/>
      </bottom>
      <diagonal/>
    </border>
    <border>
      <left/>
      <right style="thin">
        <color indexed="26"/>
      </right>
      <top style="thin">
        <color indexed="26"/>
      </top>
      <bottom style="thin">
        <color indexed="26"/>
      </bottom>
      <diagonal/>
    </border>
    <border>
      <left style="thin">
        <color indexed="29"/>
      </left>
      <right/>
      <top/>
      <bottom style="thin">
        <color indexed="29"/>
      </bottom>
      <diagonal/>
    </border>
    <border>
      <left/>
      <right style="thin">
        <color indexed="29"/>
      </right>
      <top/>
      <bottom style="thin">
        <color indexed="29"/>
      </bottom>
      <diagonal/>
    </border>
    <border>
      <left style="thin">
        <color indexed="29"/>
      </left>
      <right style="thin">
        <color indexed="29"/>
      </right>
      <top/>
      <bottom style="thin">
        <color indexed="29"/>
      </bottom>
      <diagonal/>
    </border>
    <border>
      <left style="thin">
        <color indexed="29"/>
      </left>
      <right/>
      <top style="thin">
        <color indexed="29"/>
      </top>
      <bottom/>
      <diagonal/>
    </border>
    <border>
      <left/>
      <right style="thin">
        <color indexed="29"/>
      </right>
      <top style="thin">
        <color indexed="29"/>
      </top>
      <bottom/>
      <diagonal/>
    </border>
    <border>
      <left style="thin">
        <color indexed="29"/>
      </left>
      <right style="thin">
        <color indexed="29"/>
      </right>
      <top style="thin">
        <color indexed="29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9"/>
      </left>
      <right/>
      <top style="thin">
        <color auto="1"/>
      </top>
      <bottom style="thin">
        <color indexed="29"/>
      </bottom>
      <diagonal/>
    </border>
    <border>
      <left/>
      <right style="thin">
        <color indexed="29"/>
      </right>
      <top style="thin">
        <color auto="1"/>
      </top>
      <bottom style="thin">
        <color indexed="29"/>
      </bottom>
      <diagonal/>
    </border>
    <border>
      <left style="thin">
        <color indexed="26"/>
      </left>
      <right/>
      <top style="thin">
        <color indexed="29"/>
      </top>
      <bottom style="thin">
        <color indexed="26"/>
      </bottom>
      <diagonal/>
    </border>
    <border>
      <left/>
      <right style="thin">
        <color indexed="26"/>
      </right>
      <top style="thin">
        <color indexed="29"/>
      </top>
      <bottom style="thin">
        <color indexed="26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7">
    <xf numFmtId="0" fontId="0" fillId="0" borderId="0"/>
    <xf numFmtId="0" fontId="29" fillId="22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/>
    <xf numFmtId="0" fontId="29" fillId="2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36" fillId="0" borderId="36" applyNumberFormat="0" applyFill="0" applyAlignment="0" applyProtection="0">
      <alignment vertical="center"/>
    </xf>
    <xf numFmtId="0" fontId="41" fillId="15" borderId="37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28" borderId="40" applyNumberFormat="0" applyFon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6" fillId="0" borderId="39" applyNumberFormat="0" applyFill="0" applyAlignment="0" applyProtection="0">
      <alignment vertical="center"/>
    </xf>
    <xf numFmtId="0" fontId="44" fillId="0" borderId="39" applyNumberFormat="0" applyFill="0" applyAlignment="0" applyProtection="0">
      <alignment vertical="center"/>
    </xf>
    <xf numFmtId="0" fontId="43" fillId="0" borderId="42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1" fillId="16" borderId="35" applyNumberFormat="0" applyAlignment="0" applyProtection="0">
      <alignment vertical="center"/>
    </xf>
    <xf numFmtId="0" fontId="45" fillId="30" borderId="41" applyNumberFormat="0" applyAlignment="0" applyProtection="0">
      <alignment vertical="center"/>
    </xf>
    <xf numFmtId="0" fontId="30" fillId="15" borderId="35" applyNumberFormat="0" applyAlignment="0" applyProtection="0">
      <alignment vertical="center"/>
    </xf>
    <xf numFmtId="0" fontId="42" fillId="0" borderId="38" applyNumberFormat="0" applyFill="0" applyAlignment="0" applyProtection="0">
      <alignment vertical="center"/>
    </xf>
    <xf numFmtId="0" fontId="48" fillId="31" borderId="0" applyNumberFormat="0" applyBorder="0" applyAlignment="0" applyProtection="0">
      <alignment vertical="center"/>
    </xf>
    <xf numFmtId="0" fontId="37" fillId="0" borderId="0"/>
    <xf numFmtId="0" fontId="33" fillId="33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0" fillId="0" borderId="0"/>
    <xf numFmtId="0" fontId="33" fillId="29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0" fillId="0" borderId="0"/>
    <xf numFmtId="0" fontId="33" fillId="37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7" fillId="0" borderId="0"/>
    <xf numFmtId="0" fontId="29" fillId="10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182" fontId="0" fillId="0" borderId="0" applyFont="0" applyFill="0" applyBorder="0" applyAlignment="0" applyProtection="0"/>
    <xf numFmtId="0" fontId="50" fillId="0" borderId="0"/>
    <xf numFmtId="0" fontId="37" fillId="0" borderId="0"/>
    <xf numFmtId="0" fontId="49" fillId="0" borderId="0"/>
  </cellStyleXfs>
  <cellXfs count="254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81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178" fontId="4" fillId="0" borderId="2" xfId="7" applyFont="1" applyFill="1" applyBorder="1" applyAlignment="1">
      <alignment vertical="center"/>
    </xf>
    <xf numFmtId="0" fontId="5" fillId="0" borderId="0" xfId="0" applyFont="1" applyFill="1" applyAlignment="1">
      <alignment horizontal="right" vertical="center"/>
    </xf>
    <xf numFmtId="181" fontId="0" fillId="0" borderId="0" xfId="0" applyNumberFormat="1" applyFill="1"/>
    <xf numFmtId="180" fontId="6" fillId="0" borderId="0" xfId="7" applyNumberFormat="1" applyFont="1" applyFill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49" fontId="7" fillId="0" borderId="0" xfId="7" applyNumberFormat="1" applyFont="1" applyFill="1" applyBorder="1" applyAlignment="1">
      <alignment horizontal="right" vertical="center"/>
    </xf>
    <xf numFmtId="183" fontId="7" fillId="0" borderId="1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183" fontId="7" fillId="0" borderId="0" xfId="0" applyNumberFormat="1" applyFont="1" applyFill="1" applyAlignment="1">
      <alignment horizontal="right" vertical="center"/>
    </xf>
    <xf numFmtId="183" fontId="0" fillId="0" borderId="0" xfId="0" applyNumberFormat="1" applyFill="1"/>
    <xf numFmtId="0" fontId="5" fillId="0" borderId="1" xfId="0" applyFont="1" applyFill="1" applyBorder="1" applyAlignment="1">
      <alignment horizontal="right" vertical="center"/>
    </xf>
    <xf numFmtId="183" fontId="4" fillId="0" borderId="2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8" fillId="0" borderId="2" xfId="0" applyFont="1" applyFill="1" applyBorder="1" applyAlignment="1">
      <alignment vertical="center"/>
    </xf>
    <xf numFmtId="183" fontId="4" fillId="0" borderId="2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183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183" fontId="5" fillId="0" borderId="0" xfId="0" applyNumberFormat="1" applyFont="1" applyFill="1" applyAlignment="1">
      <alignment horizontal="right" vertical="center"/>
    </xf>
    <xf numFmtId="9" fontId="0" fillId="0" borderId="0" xfId="0" applyNumberFormat="1" applyFill="1"/>
    <xf numFmtId="181" fontId="10" fillId="0" borderId="3" xfId="47" applyNumberFormat="1" applyFont="1" applyFill="1" applyBorder="1" applyAlignment="1">
      <alignment horizontal="right" vertical="top" wrapText="1"/>
    </xf>
    <xf numFmtId="0" fontId="11" fillId="2" borderId="4" xfId="0" applyNumberFormat="1" applyFont="1" applyFill="1" applyBorder="1" applyAlignment="1">
      <alignment vertical="top" wrapText="1"/>
    </xf>
    <xf numFmtId="0" fontId="11" fillId="2" borderId="5" xfId="0" applyNumberFormat="1" applyFont="1" applyFill="1" applyBorder="1" applyAlignment="1">
      <alignment vertical="top" wrapText="1"/>
    </xf>
    <xf numFmtId="0" fontId="11" fillId="2" borderId="6" xfId="0" applyNumberFormat="1" applyFont="1" applyFill="1" applyBorder="1" applyAlignment="1">
      <alignment vertical="top" wrapText="1"/>
    </xf>
    <xf numFmtId="0" fontId="11" fillId="2" borderId="7" xfId="0" applyNumberFormat="1" applyFont="1" applyFill="1" applyBorder="1" applyAlignment="1">
      <alignment vertical="top" wrapText="1"/>
    </xf>
    <xf numFmtId="0" fontId="11" fillId="2" borderId="2" xfId="0" applyNumberFormat="1" applyFont="1" applyFill="1" applyBorder="1" applyAlignment="1">
      <alignment vertical="top" wrapText="1"/>
    </xf>
    <xf numFmtId="0" fontId="11" fillId="2" borderId="8" xfId="0" applyNumberFormat="1" applyFont="1" applyFill="1" applyBorder="1" applyAlignment="1">
      <alignment vertical="top" wrapText="1"/>
    </xf>
    <xf numFmtId="0" fontId="11" fillId="2" borderId="9" xfId="0" applyNumberFormat="1" applyFont="1" applyFill="1" applyBorder="1" applyAlignment="1">
      <alignment vertical="top" wrapText="1"/>
    </xf>
    <xf numFmtId="0" fontId="12" fillId="0" borderId="10" xfId="0" applyNumberFormat="1" applyFont="1" applyFill="1" applyBorder="1" applyAlignment="1">
      <alignment vertical="top" wrapText="1" indent="4"/>
    </xf>
    <xf numFmtId="0" fontId="12" fillId="0" borderId="10" xfId="0" applyNumberFormat="1" applyFont="1" applyFill="1" applyBorder="1" applyAlignment="1">
      <alignment horizontal="right" vertical="top" wrapText="1"/>
    </xf>
    <xf numFmtId="181" fontId="12" fillId="0" borderId="10" xfId="0" applyNumberFormat="1" applyFont="1" applyFill="1" applyBorder="1" applyAlignment="1">
      <alignment horizontal="right" vertical="top" wrapText="1"/>
    </xf>
    <xf numFmtId="0" fontId="12" fillId="0" borderId="11" xfId="0" applyNumberFormat="1" applyFont="1" applyFill="1" applyBorder="1" applyAlignment="1">
      <alignment horizontal="right" vertical="top" wrapText="1"/>
    </xf>
    <xf numFmtId="0" fontId="11" fillId="2" borderId="4" xfId="0" applyNumberFormat="1" applyFont="1" applyFill="1" applyBorder="1" applyAlignment="1">
      <alignment vertical="top"/>
    </xf>
    <xf numFmtId="0" fontId="11" fillId="2" borderId="4" xfId="0" applyNumberFormat="1" applyFont="1" applyFill="1" applyBorder="1" applyAlignment="1">
      <alignment horizontal="right" vertical="top" wrapText="1"/>
    </xf>
    <xf numFmtId="181" fontId="11" fillId="2" borderId="4" xfId="0" applyNumberFormat="1" applyFont="1" applyFill="1" applyBorder="1" applyAlignment="1">
      <alignment horizontal="right" vertical="top" wrapText="1"/>
    </xf>
    <xf numFmtId="0" fontId="11" fillId="2" borderId="12" xfId="0" applyNumberFormat="1" applyFont="1" applyFill="1" applyBorder="1" applyAlignment="1">
      <alignment horizontal="right" vertical="top" wrapText="1"/>
    </xf>
    <xf numFmtId="0" fontId="11" fillId="2" borderId="13" xfId="0" applyNumberFormat="1" applyFont="1" applyFill="1" applyBorder="1" applyAlignment="1">
      <alignment vertical="top" wrapText="1"/>
    </xf>
    <xf numFmtId="0" fontId="11" fillId="2" borderId="14" xfId="0" applyNumberFormat="1" applyFont="1" applyFill="1" applyBorder="1" applyAlignment="1">
      <alignment vertical="top" wrapText="1"/>
    </xf>
    <xf numFmtId="0" fontId="12" fillId="0" borderId="15" xfId="0" applyNumberFormat="1" applyFont="1" applyFill="1" applyBorder="1" applyAlignment="1">
      <alignment horizontal="right" vertical="top" wrapText="1"/>
    </xf>
    <xf numFmtId="0" fontId="11" fillId="2" borderId="16" xfId="0" applyNumberFormat="1" applyFont="1" applyFill="1" applyBorder="1" applyAlignment="1">
      <alignment horizontal="right" vertical="top" wrapText="1"/>
    </xf>
    <xf numFmtId="0" fontId="0" fillId="0" borderId="0" xfId="0" applyFill="1" applyBorder="1"/>
    <xf numFmtId="0" fontId="2" fillId="0" borderId="0" xfId="0" applyFont="1" applyFill="1" applyBorder="1" applyAlignment="1">
      <alignment vertical="center"/>
    </xf>
    <xf numFmtId="183" fontId="5" fillId="0" borderId="0" xfId="0" applyNumberFormat="1" applyFont="1" applyFill="1" applyBorder="1" applyAlignment="1">
      <alignment horizontal="right" vertical="center"/>
    </xf>
    <xf numFmtId="0" fontId="13" fillId="0" borderId="0" xfId="0" applyNumberFormat="1" applyFont="1" applyAlignment="1">
      <alignment wrapText="1"/>
    </xf>
    <xf numFmtId="0" fontId="14" fillId="0" borderId="0" xfId="0" applyNumberFormat="1" applyFont="1" applyAlignment="1">
      <alignment wrapText="1"/>
    </xf>
    <xf numFmtId="0" fontId="0" fillId="0" borderId="0" xfId="0" applyNumberFormat="1" applyAlignment="1">
      <alignment vertical="top" wrapText="1"/>
    </xf>
    <xf numFmtId="0" fontId="12" fillId="3" borderId="2" xfId="0" applyNumberFormat="1" applyFont="1" applyFill="1" applyBorder="1" applyAlignment="1">
      <alignment vertical="top" wrapText="1"/>
    </xf>
    <xf numFmtId="0" fontId="12" fillId="3" borderId="2" xfId="0" applyNumberFormat="1" applyFont="1" applyFill="1" applyBorder="1" applyAlignment="1">
      <alignment vertical="top"/>
    </xf>
    <xf numFmtId="0" fontId="12" fillId="3" borderId="2" xfId="0" applyNumberFormat="1" applyFont="1" applyFill="1" applyBorder="1" applyAlignment="1">
      <alignment horizontal="right" vertical="top" wrapText="1"/>
    </xf>
    <xf numFmtId="0" fontId="12" fillId="0" borderId="17" xfId="0" applyNumberFormat="1" applyFont="1" applyBorder="1" applyAlignment="1">
      <alignment vertical="top" indent="2"/>
    </xf>
    <xf numFmtId="0" fontId="12" fillId="0" borderId="18" xfId="0" applyNumberFormat="1" applyFont="1" applyBorder="1" applyAlignment="1">
      <alignment vertical="top" indent="2"/>
    </xf>
    <xf numFmtId="0" fontId="12" fillId="0" borderId="19" xfId="0" applyNumberFormat="1" applyFont="1" applyBorder="1" applyAlignment="1">
      <alignment vertical="top"/>
    </xf>
    <xf numFmtId="181" fontId="12" fillId="0" borderId="19" xfId="0" applyNumberFormat="1" applyFont="1" applyBorder="1" applyAlignment="1">
      <alignment horizontal="right" vertical="top" wrapText="1"/>
    </xf>
    <xf numFmtId="0" fontId="12" fillId="0" borderId="19" xfId="0" applyNumberFormat="1" applyFont="1" applyBorder="1" applyAlignment="1">
      <alignment horizontal="right" vertical="top" wrapText="1"/>
    </xf>
    <xf numFmtId="0" fontId="12" fillId="0" borderId="11" xfId="0" applyNumberFormat="1" applyFont="1" applyBorder="1" applyAlignment="1">
      <alignment vertical="top" indent="2"/>
    </xf>
    <xf numFmtId="0" fontId="12" fillId="0" borderId="15" xfId="0" applyNumberFormat="1" applyFont="1" applyBorder="1" applyAlignment="1">
      <alignment vertical="top" indent="2"/>
    </xf>
    <xf numFmtId="0" fontId="12" fillId="4" borderId="10" xfId="0" applyNumberFormat="1" applyFont="1" applyFill="1" applyBorder="1" applyAlignment="1">
      <alignment vertical="top"/>
    </xf>
    <xf numFmtId="0" fontId="12" fillId="4" borderId="10" xfId="0" applyNumberFormat="1" applyFont="1" applyFill="1" applyBorder="1" applyAlignment="1">
      <alignment horizontal="right" vertical="top" wrapText="1"/>
    </xf>
    <xf numFmtId="181" fontId="12" fillId="4" borderId="10" xfId="0" applyNumberFormat="1" applyFont="1" applyFill="1" applyBorder="1" applyAlignment="1">
      <alignment horizontal="right" vertical="top" wrapText="1"/>
    </xf>
    <xf numFmtId="180" fontId="0" fillId="0" borderId="0" xfId="7" applyNumberFormat="1" applyFont="1"/>
    <xf numFmtId="183" fontId="0" fillId="0" borderId="0" xfId="0" applyNumberFormat="1"/>
    <xf numFmtId="0" fontId="12" fillId="0" borderId="10" xfId="0" applyNumberFormat="1" applyFont="1" applyBorder="1" applyAlignment="1">
      <alignment vertical="top"/>
    </xf>
    <xf numFmtId="0" fontId="12" fillId="0" borderId="10" xfId="0" applyNumberFormat="1" applyFont="1" applyBorder="1" applyAlignment="1">
      <alignment horizontal="right" vertical="top" wrapText="1"/>
    </xf>
    <xf numFmtId="181" fontId="15" fillId="0" borderId="10" xfId="0" applyNumberFormat="1" applyFont="1" applyBorder="1" applyAlignment="1">
      <alignment horizontal="right" vertical="top" wrapText="1"/>
    </xf>
    <xf numFmtId="2" fontId="12" fillId="0" borderId="10" xfId="0" applyNumberFormat="1" applyFont="1" applyBorder="1" applyAlignment="1">
      <alignment horizontal="right" vertical="top" wrapText="1"/>
    </xf>
    <xf numFmtId="181" fontId="16" fillId="4" borderId="10" xfId="0" applyNumberFormat="1" applyFont="1" applyFill="1" applyBorder="1" applyAlignment="1">
      <alignment horizontal="right" vertical="top" wrapText="1"/>
    </xf>
    <xf numFmtId="0" fontId="12" fillId="0" borderId="20" xfId="0" applyNumberFormat="1" applyFont="1" applyBorder="1" applyAlignment="1">
      <alignment vertical="top" indent="2"/>
    </xf>
    <xf numFmtId="0" fontId="12" fillId="0" borderId="21" xfId="0" applyNumberFormat="1" applyFont="1" applyBorder="1" applyAlignment="1">
      <alignment vertical="top" indent="2"/>
    </xf>
    <xf numFmtId="0" fontId="12" fillId="4" borderId="22" xfId="0" applyNumberFormat="1" applyFont="1" applyFill="1" applyBorder="1" applyAlignment="1">
      <alignment vertical="top"/>
    </xf>
    <xf numFmtId="181" fontId="16" fillId="4" borderId="22" xfId="0" applyNumberFormat="1" applyFont="1" applyFill="1" applyBorder="1" applyAlignment="1">
      <alignment horizontal="right" vertical="top" wrapText="1"/>
    </xf>
    <xf numFmtId="0" fontId="12" fillId="4" borderId="22" xfId="0" applyNumberFormat="1" applyFont="1" applyFill="1" applyBorder="1" applyAlignment="1">
      <alignment horizontal="right" vertical="top" wrapText="1"/>
    </xf>
    <xf numFmtId="181" fontId="12" fillId="3" borderId="2" xfId="0" applyNumberFormat="1" applyFont="1" applyFill="1" applyBorder="1" applyAlignment="1">
      <alignment horizontal="right" vertical="top" wrapText="1"/>
    </xf>
    <xf numFmtId="181" fontId="16" fillId="0" borderId="19" xfId="0" applyNumberFormat="1" applyFont="1" applyBorder="1" applyAlignment="1">
      <alignment horizontal="right" vertical="top" wrapText="1"/>
    </xf>
    <xf numFmtId="0" fontId="12" fillId="5" borderId="10" xfId="0" applyNumberFormat="1" applyFont="1" applyFill="1" applyBorder="1" applyAlignment="1">
      <alignment vertical="top"/>
    </xf>
    <xf numFmtId="0" fontId="12" fillId="5" borderId="10" xfId="0" applyNumberFormat="1" applyFont="1" applyFill="1" applyBorder="1" applyAlignment="1">
      <alignment horizontal="right" vertical="top" wrapText="1"/>
    </xf>
    <xf numFmtId="181" fontId="12" fillId="5" borderId="10" xfId="0" applyNumberFormat="1" applyFont="1" applyFill="1" applyBorder="1" applyAlignment="1">
      <alignment horizontal="right" vertical="top" wrapText="1"/>
    </xf>
    <xf numFmtId="180" fontId="0" fillId="5" borderId="0" xfId="7" applyNumberFormat="1" applyFont="1" applyFill="1"/>
    <xf numFmtId="0" fontId="12" fillId="6" borderId="10" xfId="0" applyNumberFormat="1" applyFont="1" applyFill="1" applyBorder="1" applyAlignment="1">
      <alignment vertical="top"/>
    </xf>
    <xf numFmtId="0" fontId="12" fillId="6" borderId="10" xfId="0" applyNumberFormat="1" applyFont="1" applyFill="1" applyBorder="1" applyAlignment="1">
      <alignment horizontal="right" vertical="top" wrapText="1"/>
    </xf>
    <xf numFmtId="181" fontId="12" fillId="6" borderId="10" xfId="0" applyNumberFormat="1" applyFont="1" applyFill="1" applyBorder="1" applyAlignment="1">
      <alignment horizontal="right" vertical="top" wrapText="1"/>
    </xf>
    <xf numFmtId="181" fontId="0" fillId="5" borderId="0" xfId="0" applyNumberFormat="1" applyFill="1"/>
    <xf numFmtId="181" fontId="0" fillId="0" borderId="0" xfId="0" applyNumberFormat="1"/>
    <xf numFmtId="0" fontId="12" fillId="0" borderId="22" xfId="0" applyNumberFormat="1" applyFont="1" applyBorder="1" applyAlignment="1">
      <alignment vertical="top"/>
    </xf>
    <xf numFmtId="181" fontId="16" fillId="5" borderId="22" xfId="0" applyNumberFormat="1" applyFont="1" applyFill="1" applyBorder="1" applyAlignment="1">
      <alignment horizontal="right" vertical="top" wrapText="1"/>
    </xf>
    <xf numFmtId="0" fontId="12" fillId="0" borderId="22" xfId="0" applyNumberFormat="1" applyFont="1" applyBorder="1" applyAlignment="1">
      <alignment horizontal="right" vertical="top" wrapText="1"/>
    </xf>
    <xf numFmtId="0" fontId="12" fillId="7" borderId="23" xfId="0" applyNumberFormat="1" applyFont="1" applyFill="1" applyBorder="1" applyAlignment="1">
      <alignment vertical="top" wrapText="1"/>
    </xf>
    <xf numFmtId="0" fontId="12" fillId="7" borderId="24" xfId="0" applyNumberFormat="1" applyFont="1" applyFill="1" applyBorder="1" applyAlignment="1">
      <alignment vertical="top" wrapText="1"/>
    </xf>
    <xf numFmtId="0" fontId="12" fillId="7" borderId="25" xfId="0" applyNumberFormat="1" applyFont="1" applyFill="1" applyBorder="1" applyAlignment="1">
      <alignment vertical="top" wrapText="1"/>
    </xf>
    <xf numFmtId="0" fontId="12" fillId="7" borderId="26" xfId="0" applyNumberFormat="1" applyFont="1" applyFill="1" applyBorder="1" applyAlignment="1">
      <alignment vertical="top" wrapText="1"/>
    </xf>
    <xf numFmtId="0" fontId="12" fillId="7" borderId="2" xfId="0" applyNumberFormat="1" applyFont="1" applyFill="1" applyBorder="1" applyAlignment="1">
      <alignment vertical="top" wrapText="1"/>
    </xf>
    <xf numFmtId="0" fontId="12" fillId="7" borderId="9" xfId="0" applyNumberFormat="1" applyFont="1" applyFill="1" applyBorder="1" applyAlignment="1">
      <alignment vertical="top" wrapText="1"/>
    </xf>
    <xf numFmtId="0" fontId="12" fillId="7" borderId="14" xfId="0" applyNumberFormat="1" applyFont="1" applyFill="1" applyBorder="1" applyAlignment="1">
      <alignment vertical="top" wrapText="1"/>
    </xf>
    <xf numFmtId="0" fontId="12" fillId="4" borderId="27" xfId="0" applyNumberFormat="1" applyFont="1" applyFill="1" applyBorder="1" applyAlignment="1">
      <alignment vertical="top" wrapText="1"/>
    </xf>
    <xf numFmtId="0" fontId="12" fillId="4" borderId="28" xfId="0" applyNumberFormat="1" applyFont="1" applyFill="1" applyBorder="1" applyAlignment="1">
      <alignment vertical="top" wrapText="1"/>
    </xf>
    <xf numFmtId="181" fontId="12" fillId="4" borderId="19" xfId="0" applyNumberFormat="1" applyFont="1" applyFill="1" applyBorder="1" applyAlignment="1">
      <alignment horizontal="right" vertical="top" wrapText="1"/>
    </xf>
    <xf numFmtId="0" fontId="12" fillId="4" borderId="19" xfId="0" applyNumberFormat="1" applyFont="1" applyFill="1" applyBorder="1" applyAlignment="1">
      <alignment horizontal="right" vertical="top" wrapText="1"/>
    </xf>
    <xf numFmtId="0" fontId="12" fillId="4" borderId="11" xfId="0" applyNumberFormat="1" applyFont="1" applyFill="1" applyBorder="1" applyAlignment="1">
      <alignment vertical="top" wrapText="1"/>
    </xf>
    <xf numFmtId="0" fontId="12" fillId="4" borderId="15" xfId="0" applyNumberFormat="1" applyFont="1" applyFill="1" applyBorder="1" applyAlignment="1">
      <alignment vertical="top" wrapText="1"/>
    </xf>
    <xf numFmtId="0" fontId="12" fillId="8" borderId="11" xfId="0" applyNumberFormat="1" applyFont="1" applyFill="1" applyBorder="1" applyAlignment="1">
      <alignment vertical="top" wrapText="1"/>
    </xf>
    <xf numFmtId="0" fontId="12" fillId="8" borderId="15" xfId="0" applyNumberFormat="1" applyFont="1" applyFill="1" applyBorder="1" applyAlignment="1">
      <alignment vertical="top" wrapText="1"/>
    </xf>
    <xf numFmtId="0" fontId="12" fillId="8" borderId="10" xfId="0" applyNumberFormat="1" applyFont="1" applyFill="1" applyBorder="1" applyAlignment="1">
      <alignment horizontal="right" vertical="top" wrapText="1"/>
    </xf>
    <xf numFmtId="181" fontId="12" fillId="8" borderId="10" xfId="0" applyNumberFormat="1" applyFont="1" applyFill="1" applyBorder="1" applyAlignment="1">
      <alignment horizontal="right" vertical="top" wrapText="1"/>
    </xf>
    <xf numFmtId="183" fontId="12" fillId="8" borderId="10" xfId="0" applyNumberFormat="1" applyFont="1" applyFill="1" applyBorder="1" applyAlignment="1">
      <alignment horizontal="right" vertical="top" wrapText="1"/>
    </xf>
    <xf numFmtId="0" fontId="12" fillId="9" borderId="11" xfId="0" applyNumberFormat="1" applyFont="1" applyFill="1" applyBorder="1" applyAlignment="1">
      <alignment vertical="top" wrapText="1"/>
    </xf>
    <xf numFmtId="0" fontId="12" fillId="9" borderId="15" xfId="0" applyNumberFormat="1" applyFont="1" applyFill="1" applyBorder="1" applyAlignment="1">
      <alignment vertical="top" wrapText="1"/>
    </xf>
    <xf numFmtId="181" fontId="12" fillId="9" borderId="10" xfId="0" applyNumberFormat="1" applyFont="1" applyFill="1" applyBorder="1" applyAlignment="1">
      <alignment horizontal="right" vertical="top" wrapText="1"/>
    </xf>
    <xf numFmtId="0" fontId="12" fillId="9" borderId="10" xfId="0" applyNumberFormat="1" applyFont="1" applyFill="1" applyBorder="1" applyAlignment="1">
      <alignment horizontal="right" vertical="top" wrapText="1"/>
    </xf>
    <xf numFmtId="0" fontId="12" fillId="10" borderId="11" xfId="0" applyNumberFormat="1" applyFont="1" applyFill="1" applyBorder="1" applyAlignment="1">
      <alignment vertical="top" wrapText="1"/>
    </xf>
    <xf numFmtId="0" fontId="12" fillId="10" borderId="15" xfId="0" applyNumberFormat="1" applyFont="1" applyFill="1" applyBorder="1" applyAlignment="1">
      <alignment vertical="top" wrapText="1"/>
    </xf>
    <xf numFmtId="181" fontId="12" fillId="10" borderId="10" xfId="0" applyNumberFormat="1" applyFont="1" applyFill="1" applyBorder="1" applyAlignment="1">
      <alignment horizontal="right" vertical="top" wrapText="1"/>
    </xf>
    <xf numFmtId="0" fontId="12" fillId="10" borderId="10" xfId="0" applyNumberFormat="1" applyFont="1" applyFill="1" applyBorder="1" applyAlignment="1">
      <alignment horizontal="right" vertical="top" wrapText="1"/>
    </xf>
    <xf numFmtId="0" fontId="12" fillId="11" borderId="11" xfId="0" applyNumberFormat="1" applyFont="1" applyFill="1" applyBorder="1" applyAlignment="1">
      <alignment vertical="top" wrapText="1"/>
    </xf>
    <xf numFmtId="0" fontId="12" fillId="11" borderId="15" xfId="0" applyNumberFormat="1" applyFont="1" applyFill="1" applyBorder="1" applyAlignment="1">
      <alignment vertical="top" wrapText="1"/>
    </xf>
    <xf numFmtId="181" fontId="12" fillId="11" borderId="10" xfId="0" applyNumberFormat="1" applyFont="1" applyFill="1" applyBorder="1" applyAlignment="1">
      <alignment horizontal="right" vertical="top" wrapText="1"/>
    </xf>
    <xf numFmtId="0" fontId="12" fillId="11" borderId="10" xfId="0" applyNumberFormat="1" applyFont="1" applyFill="1" applyBorder="1" applyAlignment="1">
      <alignment horizontal="right" vertical="top" wrapText="1"/>
    </xf>
    <xf numFmtId="0" fontId="12" fillId="4" borderId="11" xfId="0" applyNumberFormat="1" applyFont="1" applyFill="1" applyBorder="1" applyAlignment="1">
      <alignment horizontal="right" vertical="top" wrapText="1"/>
    </xf>
    <xf numFmtId="0" fontId="12" fillId="12" borderId="11" xfId="0" applyNumberFormat="1" applyFont="1" applyFill="1" applyBorder="1" applyAlignment="1">
      <alignment vertical="top" wrapText="1"/>
    </xf>
    <xf numFmtId="0" fontId="12" fillId="12" borderId="15" xfId="0" applyNumberFormat="1" applyFont="1" applyFill="1" applyBorder="1" applyAlignment="1">
      <alignment vertical="top" wrapText="1"/>
    </xf>
    <xf numFmtId="181" fontId="12" fillId="12" borderId="10" xfId="0" applyNumberFormat="1" applyFont="1" applyFill="1" applyBorder="1" applyAlignment="1">
      <alignment horizontal="right" vertical="top" wrapText="1"/>
    </xf>
    <xf numFmtId="0" fontId="12" fillId="12" borderId="10" xfId="0" applyNumberFormat="1" applyFont="1" applyFill="1" applyBorder="1" applyAlignment="1">
      <alignment horizontal="right" vertical="top" wrapText="1"/>
    </xf>
    <xf numFmtId="0" fontId="12" fillId="12" borderId="11" xfId="0" applyNumberFormat="1" applyFont="1" applyFill="1" applyBorder="1" applyAlignment="1">
      <alignment horizontal="right" vertical="top" wrapText="1"/>
    </xf>
    <xf numFmtId="0" fontId="12" fillId="11" borderId="11" xfId="0" applyNumberFormat="1" applyFont="1" applyFill="1" applyBorder="1" applyAlignment="1">
      <alignment horizontal="right" vertical="top" wrapText="1"/>
    </xf>
    <xf numFmtId="181" fontId="12" fillId="4" borderId="10" xfId="0" applyNumberFormat="1" applyFont="1" applyFill="1" applyBorder="1" applyAlignment="1">
      <alignment vertical="top" wrapText="1"/>
    </xf>
    <xf numFmtId="0" fontId="12" fillId="0" borderId="10" xfId="0" applyNumberFormat="1" applyFont="1" applyFill="1" applyBorder="1" applyAlignment="1">
      <alignment vertical="top" wrapText="1"/>
    </xf>
    <xf numFmtId="180" fontId="12" fillId="0" borderId="11" xfId="7" applyNumberFormat="1" applyFont="1" applyFill="1" applyBorder="1" applyAlignment="1">
      <alignment vertical="top" wrapText="1"/>
    </xf>
    <xf numFmtId="184" fontId="12" fillId="0" borderId="10" xfId="0" applyNumberFormat="1" applyFont="1" applyFill="1" applyBorder="1" applyAlignment="1">
      <alignment horizontal="right" vertical="top" wrapText="1"/>
    </xf>
    <xf numFmtId="185" fontId="12" fillId="0" borderId="10" xfId="0" applyNumberFormat="1" applyFont="1" applyFill="1" applyBorder="1" applyAlignment="1">
      <alignment horizontal="right" vertical="top" wrapText="1"/>
    </xf>
    <xf numFmtId="0" fontId="12" fillId="13" borderId="11" xfId="0" applyNumberFormat="1" applyFont="1" applyFill="1" applyBorder="1" applyAlignment="1">
      <alignment vertical="top" wrapText="1"/>
    </xf>
    <xf numFmtId="0" fontId="12" fillId="13" borderId="15" xfId="0" applyNumberFormat="1" applyFont="1" applyFill="1" applyBorder="1" applyAlignment="1">
      <alignment vertical="top" wrapText="1"/>
    </xf>
    <xf numFmtId="0" fontId="12" fillId="13" borderId="10" xfId="0" applyNumberFormat="1" applyFont="1" applyFill="1" applyBorder="1" applyAlignment="1">
      <alignment horizontal="right" vertical="top" wrapText="1"/>
    </xf>
    <xf numFmtId="181" fontId="12" fillId="13" borderId="10" xfId="0" applyNumberFormat="1" applyFont="1" applyFill="1" applyBorder="1" applyAlignment="1">
      <alignment horizontal="right" vertical="top" wrapText="1"/>
    </xf>
    <xf numFmtId="181" fontId="12" fillId="13" borderId="11" xfId="0" applyNumberFormat="1" applyFont="1" applyFill="1" applyBorder="1" applyAlignment="1">
      <alignment vertical="top" wrapText="1"/>
    </xf>
    <xf numFmtId="0" fontId="12" fillId="6" borderId="11" xfId="0" applyNumberFormat="1" applyFont="1" applyFill="1" applyBorder="1" applyAlignment="1">
      <alignment vertical="top" wrapText="1"/>
    </xf>
    <xf numFmtId="0" fontId="12" fillId="6" borderId="15" xfId="0" applyNumberFormat="1" applyFont="1" applyFill="1" applyBorder="1" applyAlignment="1">
      <alignment vertical="top" wrapText="1"/>
    </xf>
    <xf numFmtId="0" fontId="12" fillId="6" borderId="11" xfId="0" applyNumberFormat="1" applyFont="1" applyFill="1" applyBorder="1" applyAlignment="1">
      <alignment horizontal="right" vertical="top" wrapText="1"/>
    </xf>
    <xf numFmtId="181" fontId="12" fillId="6" borderId="11" xfId="0" applyNumberFormat="1" applyFont="1" applyFill="1" applyBorder="1" applyAlignment="1">
      <alignment vertical="top" wrapText="1"/>
    </xf>
    <xf numFmtId="0" fontId="12" fillId="3" borderId="11" xfId="0" applyNumberFormat="1" applyFont="1" applyFill="1" applyBorder="1" applyAlignment="1">
      <alignment vertical="top" wrapText="1"/>
    </xf>
    <xf numFmtId="0" fontId="12" fillId="3" borderId="15" xfId="0" applyNumberFormat="1" applyFont="1" applyFill="1" applyBorder="1" applyAlignment="1">
      <alignment vertical="top" wrapText="1"/>
    </xf>
    <xf numFmtId="0" fontId="12" fillId="3" borderId="10" xfId="0" applyNumberFormat="1" applyFont="1" applyFill="1" applyBorder="1" applyAlignment="1">
      <alignment horizontal="right" vertical="top" wrapText="1"/>
    </xf>
    <xf numFmtId="181" fontId="12" fillId="3" borderId="10" xfId="0" applyNumberFormat="1" applyFont="1" applyFill="1" applyBorder="1" applyAlignment="1">
      <alignment horizontal="right" vertical="top" wrapText="1"/>
    </xf>
    <xf numFmtId="181" fontId="12" fillId="3" borderId="11" xfId="0" applyNumberFormat="1" applyFont="1" applyFill="1" applyBorder="1" applyAlignment="1">
      <alignment vertical="top" wrapText="1"/>
    </xf>
    <xf numFmtId="181" fontId="12" fillId="4" borderId="11" xfId="0" applyNumberFormat="1" applyFont="1" applyFill="1" applyBorder="1" applyAlignment="1">
      <alignment vertical="top" wrapText="1"/>
    </xf>
    <xf numFmtId="0" fontId="12" fillId="0" borderId="11" xfId="0" applyNumberFormat="1" applyFont="1" applyFill="1" applyBorder="1" applyAlignment="1">
      <alignment vertical="top" wrapText="1"/>
    </xf>
    <xf numFmtId="0" fontId="12" fillId="0" borderId="15" xfId="0" applyNumberFormat="1" applyFont="1" applyFill="1" applyBorder="1" applyAlignment="1">
      <alignment vertical="top" wrapText="1"/>
    </xf>
    <xf numFmtId="181" fontId="12" fillId="0" borderId="11" xfId="0" applyNumberFormat="1" applyFont="1" applyFill="1" applyBorder="1" applyAlignment="1">
      <alignment vertical="top" wrapText="1"/>
    </xf>
    <xf numFmtId="183" fontId="12" fillId="0" borderId="11" xfId="0" applyNumberFormat="1" applyFont="1" applyFill="1" applyBorder="1" applyAlignment="1">
      <alignment vertical="top" wrapText="1"/>
    </xf>
    <xf numFmtId="0" fontId="12" fillId="0" borderId="11" xfId="0" applyNumberFormat="1" applyFont="1" applyBorder="1" applyAlignment="1">
      <alignment vertical="top" wrapText="1"/>
    </xf>
    <xf numFmtId="0" fontId="12" fillId="0" borderId="15" xfId="0" applyNumberFormat="1" applyFont="1" applyBorder="1" applyAlignment="1">
      <alignment vertical="top" wrapText="1"/>
    </xf>
    <xf numFmtId="181" fontId="12" fillId="0" borderId="10" xfId="0" applyNumberFormat="1" applyFont="1" applyBorder="1" applyAlignment="1">
      <alignment horizontal="right" vertical="top" wrapText="1"/>
    </xf>
    <xf numFmtId="181" fontId="12" fillId="0" borderId="11" xfId="0" applyNumberFormat="1" applyFont="1" applyBorder="1" applyAlignment="1">
      <alignment vertical="top" wrapText="1"/>
    </xf>
    <xf numFmtId="0" fontId="12" fillId="0" borderId="11" xfId="0" applyNumberFormat="1" applyFont="1" applyBorder="1" applyAlignment="1">
      <alignment horizontal="right" vertical="top" wrapText="1"/>
    </xf>
    <xf numFmtId="180" fontId="0" fillId="4" borderId="0" xfId="7" applyNumberFormat="1" applyFont="1" applyFill="1"/>
    <xf numFmtId="184" fontId="0" fillId="0" borderId="0" xfId="0" applyNumberFormat="1"/>
    <xf numFmtId="180" fontId="17" fillId="0" borderId="0" xfId="7" applyNumberFormat="1" applyFont="1"/>
    <xf numFmtId="180" fontId="0" fillId="0" borderId="0" xfId="7" applyNumberFormat="1" applyFont="1" applyFill="1"/>
    <xf numFmtId="0" fontId="12" fillId="0" borderId="15" xfId="0" applyNumberFormat="1" applyFont="1" applyBorder="1" applyAlignment="1">
      <alignment horizontal="right" vertical="top" wrapText="1"/>
    </xf>
    <xf numFmtId="0" fontId="12" fillId="7" borderId="29" xfId="0" applyNumberFormat="1" applyFont="1" applyFill="1" applyBorder="1" applyAlignment="1">
      <alignment vertical="top"/>
    </xf>
    <xf numFmtId="0" fontId="12" fillId="7" borderId="30" xfId="0" applyNumberFormat="1" applyFont="1" applyFill="1" applyBorder="1" applyAlignment="1">
      <alignment vertical="top"/>
    </xf>
    <xf numFmtId="186" fontId="12" fillId="7" borderId="4" xfId="0" applyNumberFormat="1" applyFont="1" applyFill="1" applyBorder="1" applyAlignment="1">
      <alignment horizontal="right" vertical="top" wrapText="1"/>
    </xf>
    <xf numFmtId="186" fontId="12" fillId="7" borderId="29" xfId="0" applyNumberFormat="1" applyFont="1" applyFill="1" applyBorder="1" applyAlignment="1">
      <alignment horizontal="right" vertical="top" wrapText="1"/>
    </xf>
    <xf numFmtId="186" fontId="12" fillId="7" borderId="30" xfId="0" applyNumberFormat="1" applyFont="1" applyFill="1" applyBorder="1" applyAlignment="1">
      <alignment horizontal="right" vertical="top" wrapText="1"/>
    </xf>
    <xf numFmtId="0" fontId="18" fillId="0" borderId="0" xfId="0" applyFont="1" applyFill="1"/>
    <xf numFmtId="0" fontId="19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 wrapText="1"/>
    </xf>
    <xf numFmtId="0" fontId="3" fillId="0" borderId="0" xfId="0" applyFont="1" applyFill="1" applyAlignment="1">
      <alignment vertical="center"/>
    </xf>
    <xf numFmtId="183" fontId="19" fillId="0" borderId="0" xfId="0" applyNumberFormat="1" applyFont="1" applyFill="1" applyAlignment="1">
      <alignment horizontal="right" vertical="center"/>
    </xf>
    <xf numFmtId="0" fontId="20" fillId="0" borderId="0" xfId="0" applyFont="1" applyFill="1" applyAlignment="1">
      <alignment vertical="center"/>
    </xf>
    <xf numFmtId="183" fontId="20" fillId="0" borderId="0" xfId="0" applyNumberFormat="1" applyFont="1" applyFill="1" applyAlignment="1">
      <alignment horizontal="right" vertical="center"/>
    </xf>
    <xf numFmtId="0" fontId="3" fillId="0" borderId="31" xfId="0" applyFont="1" applyFill="1" applyBorder="1" applyAlignment="1">
      <alignment vertical="center"/>
    </xf>
    <xf numFmtId="183" fontId="19" fillId="0" borderId="31" xfId="0" applyNumberFormat="1" applyFont="1" applyFill="1" applyBorder="1" applyAlignment="1">
      <alignment horizontal="right" vertical="center"/>
    </xf>
    <xf numFmtId="0" fontId="21" fillId="0" borderId="0" xfId="0" applyFont="1" applyFill="1"/>
    <xf numFmtId="0" fontId="20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justify" vertical="center"/>
    </xf>
    <xf numFmtId="0" fontId="19" fillId="0" borderId="0" xfId="0" applyFont="1" applyFill="1" applyAlignment="1">
      <alignment horizontal="justify" vertical="center" wrapText="1"/>
    </xf>
    <xf numFmtId="0" fontId="19" fillId="0" borderId="0" xfId="0" applyFont="1" applyFill="1" applyAlignment="1">
      <alignment horizontal="left" vertical="center" wrapText="1"/>
    </xf>
    <xf numFmtId="0" fontId="20" fillId="0" borderId="0" xfId="0" applyFont="1" applyFill="1" applyAlignment="1">
      <alignment horizontal="justify" vertical="center" wrapText="1"/>
    </xf>
    <xf numFmtId="0" fontId="20" fillId="0" borderId="0" xfId="0" applyFont="1" applyFill="1" applyAlignment="1">
      <alignment horizontal="left" vertical="center" wrapText="1"/>
    </xf>
    <xf numFmtId="0" fontId="20" fillId="0" borderId="0" xfId="0" applyFont="1" applyFill="1"/>
    <xf numFmtId="0" fontId="19" fillId="0" borderId="0" xfId="0" applyFont="1" applyFill="1" applyAlignment="1">
      <alignment vertical="center"/>
    </xf>
    <xf numFmtId="0" fontId="20" fillId="0" borderId="0" xfId="0" applyFont="1" applyFill="1" applyAlignment="1">
      <alignment horizontal="left" vertical="center"/>
    </xf>
    <xf numFmtId="0" fontId="3" fillId="0" borderId="32" xfId="0" applyFont="1" applyFill="1" applyBorder="1" applyAlignment="1">
      <alignment vertical="center"/>
    </xf>
    <xf numFmtId="0" fontId="3" fillId="0" borderId="32" xfId="0" applyFont="1" applyFill="1" applyBorder="1" applyAlignment="1">
      <alignment horizontal="center" vertical="center" wrapText="1"/>
    </xf>
    <xf numFmtId="0" fontId="22" fillId="0" borderId="0" xfId="0" applyFont="1" applyFill="1"/>
    <xf numFmtId="0" fontId="19" fillId="0" borderId="0" xfId="0" applyFont="1" applyFill="1" applyAlignment="1">
      <alignment vertical="center" wrapText="1"/>
    </xf>
    <xf numFmtId="0" fontId="19" fillId="0" borderId="0" xfId="0" applyFont="1" applyFill="1" applyAlignment="1">
      <alignment horizontal="right" vertical="center" wrapText="1"/>
    </xf>
    <xf numFmtId="0" fontId="20" fillId="0" borderId="0" xfId="0" applyFont="1" applyFill="1" applyAlignment="1">
      <alignment vertical="center" wrapText="1"/>
    </xf>
    <xf numFmtId="183" fontId="20" fillId="0" borderId="0" xfId="0" applyNumberFormat="1" applyFont="1" applyFill="1" applyAlignment="1">
      <alignment horizontal="right" vertical="center" wrapText="1"/>
    </xf>
    <xf numFmtId="183" fontId="20" fillId="14" borderId="0" xfId="0" applyNumberFormat="1" applyFont="1" applyFill="1" applyBorder="1" applyAlignment="1">
      <alignment horizontal="right" vertical="center"/>
    </xf>
    <xf numFmtId="0" fontId="19" fillId="0" borderId="32" xfId="0" applyFont="1" applyFill="1" applyBorder="1" applyAlignment="1">
      <alignment vertical="center" wrapText="1"/>
    </xf>
    <xf numFmtId="183" fontId="19" fillId="0" borderId="32" xfId="0" applyNumberFormat="1" applyFont="1" applyFill="1" applyBorder="1" applyAlignment="1">
      <alignment horizontal="right" vertical="center"/>
    </xf>
    <xf numFmtId="0" fontId="20" fillId="0" borderId="0" xfId="0" applyFont="1" applyFill="1" applyAlignment="1">
      <alignment horizontal="right" wrapText="1"/>
    </xf>
    <xf numFmtId="183" fontId="19" fillId="0" borderId="0" xfId="0" applyNumberFormat="1" applyFont="1" applyFill="1" applyAlignment="1">
      <alignment horizontal="right" vertical="center" wrapText="1"/>
    </xf>
    <xf numFmtId="183" fontId="23" fillId="0" borderId="0" xfId="0" applyNumberFormat="1" applyFont="1" applyFill="1" applyAlignment="1">
      <alignment horizontal="right" vertical="center" wrapText="1"/>
    </xf>
    <xf numFmtId="0" fontId="24" fillId="0" borderId="0" xfId="0" applyFont="1" applyFill="1"/>
    <xf numFmtId="0" fontId="20" fillId="0" borderId="0" xfId="0" applyFont="1" applyFill="1" applyAlignment="1">
      <alignment horizontal="right" vertical="center" wrapText="1"/>
    </xf>
    <xf numFmtId="0" fontId="19" fillId="0" borderId="32" xfId="0" applyFont="1" applyFill="1" applyBorder="1" applyAlignment="1">
      <alignment horizontal="right" vertical="center" wrapText="1"/>
    </xf>
    <xf numFmtId="183" fontId="19" fillId="0" borderId="32" xfId="0" applyNumberFormat="1" applyFont="1" applyFill="1" applyBorder="1" applyAlignment="1">
      <alignment horizontal="right" vertical="center" wrapText="1"/>
    </xf>
    <xf numFmtId="183" fontId="19" fillId="0" borderId="0" xfId="7" applyNumberFormat="1" applyFont="1" applyFill="1" applyBorder="1" applyAlignment="1">
      <alignment horizontal="right" vertical="center" wrapText="1"/>
    </xf>
    <xf numFmtId="0" fontId="19" fillId="0" borderId="33" xfId="0" applyFont="1" applyFill="1" applyBorder="1" applyAlignment="1">
      <alignment vertical="center" wrapText="1"/>
    </xf>
    <xf numFmtId="183" fontId="19" fillId="0" borderId="33" xfId="0" applyNumberFormat="1" applyFont="1" applyFill="1" applyBorder="1" applyAlignment="1">
      <alignment horizontal="right" vertical="center"/>
    </xf>
    <xf numFmtId="183" fontId="19" fillId="0" borderId="33" xfId="0" applyNumberFormat="1" applyFont="1" applyFill="1" applyBorder="1" applyAlignment="1">
      <alignment horizontal="right" vertical="center" wrapText="1"/>
    </xf>
    <xf numFmtId="183" fontId="21" fillId="0" borderId="0" xfId="0" applyNumberFormat="1" applyFont="1" applyFill="1"/>
    <xf numFmtId="183" fontId="20" fillId="0" borderId="0" xfId="0" applyNumberFormat="1" applyFont="1" applyFill="1" applyAlignment="1">
      <alignment horizontal="center" vertical="center"/>
    </xf>
    <xf numFmtId="183" fontId="20" fillId="0" borderId="0" xfId="0" applyNumberFormat="1" applyFont="1" applyFill="1" applyAlignment="1">
      <alignment horizontal="center"/>
    </xf>
    <xf numFmtId="183" fontId="25" fillId="0" borderId="0" xfId="0" applyNumberFormat="1" applyFont="1" applyFill="1" applyAlignment="1">
      <alignment horizontal="center"/>
    </xf>
    <xf numFmtId="0" fontId="19" fillId="0" borderId="1" xfId="0" applyFont="1" applyFill="1" applyBorder="1" applyAlignment="1">
      <alignment vertical="center"/>
    </xf>
    <xf numFmtId="0" fontId="19" fillId="0" borderId="1" xfId="0" applyFont="1" applyFill="1" applyBorder="1" applyAlignment="1">
      <alignment horizontal="center" vertical="center"/>
    </xf>
    <xf numFmtId="183" fontId="26" fillId="0" borderId="1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 wrapText="1"/>
    </xf>
    <xf numFmtId="183" fontId="25" fillId="0" borderId="0" xfId="0" applyNumberFormat="1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 wrapText="1"/>
    </xf>
    <xf numFmtId="0" fontId="19" fillId="0" borderId="1" xfId="0" applyFont="1" applyFill="1" applyBorder="1" applyAlignment="1">
      <alignment vertical="center" wrapText="1"/>
    </xf>
    <xf numFmtId="183" fontId="19" fillId="0" borderId="1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wrapText="1"/>
    </xf>
    <xf numFmtId="0" fontId="19" fillId="0" borderId="31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horizontal="center" vertical="center"/>
    </xf>
    <xf numFmtId="183" fontId="19" fillId="0" borderId="31" xfId="0" applyNumberFormat="1" applyFont="1" applyFill="1" applyBorder="1" applyAlignment="1">
      <alignment horizontal="center" vertical="center"/>
    </xf>
    <xf numFmtId="0" fontId="20" fillId="0" borderId="34" xfId="0" applyFont="1" applyFill="1" applyBorder="1" applyAlignment="1">
      <alignment vertical="center" wrapText="1"/>
    </xf>
    <xf numFmtId="0" fontId="20" fillId="0" borderId="34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horizontal="center" vertical="center"/>
    </xf>
    <xf numFmtId="0" fontId="19" fillId="0" borderId="34" xfId="0" applyFont="1" applyFill="1" applyBorder="1" applyAlignment="1">
      <alignment vertical="center" wrapText="1"/>
    </xf>
    <xf numFmtId="0" fontId="19" fillId="0" borderId="34" xfId="0" applyFont="1" applyFill="1" applyBorder="1" applyAlignment="1">
      <alignment horizontal="center" vertical="center"/>
    </xf>
    <xf numFmtId="183" fontId="19" fillId="0" borderId="34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justify" vertical="center"/>
    </xf>
    <xf numFmtId="0" fontId="20" fillId="0" borderId="0" xfId="0" applyFont="1" applyFill="1" applyAlignment="1">
      <alignment horizontal="justify" vertical="center"/>
    </xf>
    <xf numFmtId="0" fontId="0" fillId="0" borderId="0" xfId="0" applyFont="1" applyFill="1" applyAlignment="1"/>
    <xf numFmtId="0" fontId="18" fillId="0" borderId="0" xfId="0" applyFont="1" applyFill="1" applyAlignment="1"/>
    <xf numFmtId="0" fontId="3" fillId="0" borderId="1" xfId="0" applyFont="1" applyFill="1" applyBorder="1" applyAlignment="1">
      <alignment horizontal="center" vertical="center" wrapText="1"/>
    </xf>
    <xf numFmtId="183" fontId="20" fillId="0" borderId="0" xfId="0" applyNumberFormat="1" applyFont="1" applyFill="1" applyAlignment="1">
      <alignment horizontal="center" vertical="center" wrapText="1"/>
    </xf>
    <xf numFmtId="0" fontId="20" fillId="0" borderId="0" xfId="0" applyFont="1" applyFill="1" applyAlignment="1"/>
    <xf numFmtId="183" fontId="0" fillId="0" borderId="0" xfId="0" applyNumberFormat="1" applyFont="1" applyFill="1" applyAlignment="1"/>
    <xf numFmtId="183" fontId="20" fillId="14" borderId="0" xfId="0" applyNumberFormat="1" applyFont="1" applyFill="1" applyAlignment="1">
      <alignment horizontal="center" vertical="center"/>
    </xf>
    <xf numFmtId="0" fontId="21" fillId="0" borderId="0" xfId="0" applyFont="1" applyFill="1" applyAlignment="1"/>
    <xf numFmtId="183" fontId="27" fillId="0" borderId="0" xfId="0" applyNumberFormat="1" applyFont="1" applyFill="1" applyAlignment="1">
      <alignment horizontal="center" vertical="center"/>
    </xf>
    <xf numFmtId="187" fontId="28" fillId="0" borderId="2" xfId="29" applyNumberFormat="1" applyFont="1" applyFill="1" applyBorder="1" applyAlignment="1">
      <alignment horizontal="right" vertical="center"/>
    </xf>
    <xf numFmtId="183" fontId="20" fillId="0" borderId="1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center" vertical="center"/>
    </xf>
    <xf numFmtId="183" fontId="19" fillId="0" borderId="0" xfId="0" applyNumberFormat="1" applyFont="1" applyFill="1" applyBorder="1" applyAlignment="1">
      <alignment horizontal="center" vertical="center"/>
    </xf>
  </cellXfs>
  <cellStyles count="57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Обычный_Отчет о фин.полож. 2кв.22г" xfId="29"/>
    <cellStyle name="Акцент5" xfId="30" builtinId="45"/>
    <cellStyle name="Нейтральный" xfId="31" builtinId="28"/>
    <cellStyle name="Normal 2 2" xfId="32"/>
    <cellStyle name="Акцент1" xfId="33" builtinId="29"/>
    <cellStyle name="20% — Акцент1" xfId="34" builtinId="30"/>
    <cellStyle name="40% — Акцент1" xfId="35" builtinId="31"/>
    <cellStyle name="20% — Акцент5" xfId="36" builtinId="46"/>
    <cellStyle name="60% — Акцент1" xfId="37" builtinId="32"/>
    <cellStyle name="Акцент2" xfId="38" builtinId="33"/>
    <cellStyle name="40% — Акцент2" xfId="39" builtinId="35"/>
    <cellStyle name="20% — Акцент6" xfId="40" builtinId="50"/>
    <cellStyle name="60% — Акцент2" xfId="41" builtinId="36"/>
    <cellStyle name="Акцент3" xfId="42" builtinId="37"/>
    <cellStyle name="40% — Акцент3" xfId="43" builtinId="39"/>
    <cellStyle name="Normal 3 2" xfId="44"/>
    <cellStyle name="60% — Акцент3" xfId="45" builtinId="40"/>
    <cellStyle name="Акцент4" xfId="46" builtinId="41"/>
    <cellStyle name="Обычный_ПЗ" xfId="47"/>
    <cellStyle name="20% — Акцент4" xfId="48" builtinId="42"/>
    <cellStyle name="60% — Акцент4" xfId="49" builtinId="44"/>
    <cellStyle name="60% — Акцент5" xfId="50" builtinId="48"/>
    <cellStyle name="Акцент6" xfId="51" builtinId="49"/>
    <cellStyle name="60% — Акцент6" xfId="52" builtinId="52"/>
    <cellStyle name="Comma 3" xfId="53"/>
    <cellStyle name="Normal 2 2 2" xfId="54"/>
    <cellStyle name="Normal 4 2 2" xfId="55"/>
    <cellStyle name="Normal_WP" xfId="5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C000"/>
    <pageSetUpPr fitToPage="1"/>
  </sheetPr>
  <dimension ref="A1:H51"/>
  <sheetViews>
    <sheetView workbookViewId="0">
      <selection activeCell="A1" sqref="A1"/>
    </sheetView>
  </sheetViews>
  <sheetFormatPr defaultColWidth="9" defaultRowHeight="14.4" outlineLevelCol="7"/>
  <cols>
    <col min="1" max="1" width="39.4444444444444" style="1" customWidth="1"/>
    <col min="2" max="2" width="11.5092592592593" style="1" customWidth="1"/>
    <col min="3" max="3" width="21.5740740740741" style="1" customWidth="1"/>
    <col min="4" max="4" width="19.8333333333333" style="1" customWidth="1"/>
    <col min="5" max="7" width="8.88888888888889" style="1"/>
    <col min="8" max="8" width="13.1111111111111" style="1" customWidth="1"/>
    <col min="9" max="16384" width="8.88888888888889" style="1"/>
  </cols>
  <sheetData>
    <row r="1" spans="1:1">
      <c r="A1" s="172" t="s">
        <v>0</v>
      </c>
    </row>
    <row r="2" spans="1:4">
      <c r="A2" s="173" t="s">
        <v>1</v>
      </c>
      <c r="B2" s="174"/>
      <c r="C2" s="174"/>
      <c r="D2" s="174"/>
    </row>
    <row r="3" ht="39" customHeight="1" spans="1:4">
      <c r="A3" s="174"/>
      <c r="B3" s="174"/>
      <c r="C3" s="174"/>
      <c r="D3" s="174"/>
    </row>
    <row r="4" ht="15.15" spans="1:4">
      <c r="A4" s="175" t="s">
        <v>2</v>
      </c>
      <c r="B4" s="5" t="s">
        <v>3</v>
      </c>
      <c r="C4" s="5" t="s">
        <v>4</v>
      </c>
      <c r="D4" s="242" t="s">
        <v>5</v>
      </c>
    </row>
    <row r="5" spans="1:4">
      <c r="A5" s="192" t="s">
        <v>6</v>
      </c>
      <c r="B5" s="185"/>
      <c r="C5" s="185"/>
      <c r="D5" s="222"/>
    </row>
    <row r="6" spans="1:4">
      <c r="A6" s="192" t="s">
        <v>7</v>
      </c>
      <c r="B6" s="185"/>
      <c r="C6" s="185"/>
      <c r="D6" s="222"/>
    </row>
    <row r="7" ht="31.8" customHeight="1" spans="1:5">
      <c r="A7" s="199" t="s">
        <v>8</v>
      </c>
      <c r="B7" s="185">
        <v>10</v>
      </c>
      <c r="C7" s="248">
        <v>329940</v>
      </c>
      <c r="D7" s="216">
        <v>398020</v>
      </c>
      <c r="E7" s="18"/>
    </row>
    <row r="8" ht="25.2" customHeight="1" spans="1:5">
      <c r="A8" s="199" t="s">
        <v>9</v>
      </c>
      <c r="B8" s="185">
        <v>11</v>
      </c>
      <c r="C8" s="248">
        <v>2184197</v>
      </c>
      <c r="D8" s="216">
        <v>2597772</v>
      </c>
      <c r="E8" s="18"/>
    </row>
    <row r="9" ht="25.2" customHeight="1" spans="1:5">
      <c r="A9" s="199" t="s">
        <v>10</v>
      </c>
      <c r="B9" s="185">
        <v>12</v>
      </c>
      <c r="C9" s="216"/>
      <c r="D9" s="216">
        <v>1103607</v>
      </c>
      <c r="E9" s="18"/>
    </row>
    <row r="10" ht="22.8" customHeight="1" spans="1:4">
      <c r="A10" s="199" t="s">
        <v>11</v>
      </c>
      <c r="B10" s="185"/>
      <c r="C10" s="248">
        <v>2144080</v>
      </c>
      <c r="D10" s="216">
        <v>643649</v>
      </c>
    </row>
    <row r="11" ht="18" customHeight="1" spans="1:4">
      <c r="A11" s="199" t="s">
        <v>12</v>
      </c>
      <c r="B11" s="185"/>
      <c r="C11" s="216">
        <f>5209-538</f>
        <v>4671</v>
      </c>
      <c r="D11" s="216"/>
    </row>
    <row r="12" spans="1:4">
      <c r="A12" s="199" t="s">
        <v>13</v>
      </c>
      <c r="B12" s="185"/>
      <c r="C12" s="185">
        <v>223</v>
      </c>
      <c r="D12" s="185">
        <v>75</v>
      </c>
    </row>
    <row r="13" customHeight="1" spans="1:4">
      <c r="A13" s="199" t="s">
        <v>14</v>
      </c>
      <c r="B13" s="185"/>
      <c r="C13" s="216">
        <f>1155+1</f>
        <v>1156</v>
      </c>
      <c r="D13" s="216">
        <v>4875</v>
      </c>
    </row>
    <row r="14" ht="21.6" customHeight="1" spans="1:5">
      <c r="A14" s="228" t="s">
        <v>15</v>
      </c>
      <c r="B14" s="229" t="s">
        <v>16</v>
      </c>
      <c r="C14" s="230">
        <f>SUM(C7:C13)</f>
        <v>4664267</v>
      </c>
      <c r="D14" s="230">
        <f>D7+D8+D10+D12+D13+D9</f>
        <v>4747998</v>
      </c>
      <c r="E14" s="18"/>
    </row>
    <row r="15" spans="1:4">
      <c r="A15" s="197" t="s">
        <v>17</v>
      </c>
      <c r="B15" s="185"/>
      <c r="C15" s="185"/>
      <c r="D15" s="185"/>
    </row>
    <row r="16" ht="21" customHeight="1" spans="1:4">
      <c r="A16" s="199" t="s">
        <v>18</v>
      </c>
      <c r="B16" s="185"/>
      <c r="C16" s="216">
        <v>28170</v>
      </c>
      <c r="D16" s="216">
        <v>27252</v>
      </c>
    </row>
    <row r="17" ht="21.6" customHeight="1" spans="1:4">
      <c r="A17" s="199" t="s">
        <v>19</v>
      </c>
      <c r="B17" s="185"/>
      <c r="C17" s="216">
        <v>5279</v>
      </c>
      <c r="D17" s="216">
        <v>3736</v>
      </c>
    </row>
    <row r="18" ht="21.6" customHeight="1" spans="1:4">
      <c r="A18" s="199" t="s">
        <v>20</v>
      </c>
      <c r="B18" s="185"/>
      <c r="C18" s="216">
        <v>891111</v>
      </c>
      <c r="D18" s="216">
        <v>527778</v>
      </c>
    </row>
    <row r="19" ht="18" customHeight="1" spans="1:4">
      <c r="A19" s="199" t="s">
        <v>21</v>
      </c>
      <c r="B19" s="185"/>
      <c r="C19" s="185"/>
      <c r="D19" s="185"/>
    </row>
    <row r="20" ht="15" customHeight="1" spans="1:4">
      <c r="A20" s="228" t="s">
        <v>22</v>
      </c>
      <c r="B20" s="229" t="s">
        <v>16</v>
      </c>
      <c r="C20" s="230">
        <f>SUM(C16:C19)</f>
        <v>924560</v>
      </c>
      <c r="D20" s="230">
        <f>D16++D17+D18+D19</f>
        <v>558766</v>
      </c>
    </row>
    <row r="21" ht="12.6" customHeight="1" spans="1:8">
      <c r="A21" s="225" t="s">
        <v>23</v>
      </c>
      <c r="B21" s="220" t="s">
        <v>16</v>
      </c>
      <c r="C21" s="226">
        <f>C14+C20</f>
        <v>5588827</v>
      </c>
      <c r="D21" s="226">
        <f>D14+D20</f>
        <v>5306764</v>
      </c>
      <c r="E21" s="226"/>
      <c r="G21" s="249"/>
      <c r="H21" s="18"/>
    </row>
    <row r="22" spans="1:4">
      <c r="A22" s="197" t="s">
        <v>24</v>
      </c>
      <c r="B22" s="185"/>
      <c r="C22" s="174" t="s">
        <v>16</v>
      </c>
      <c r="D22" s="174" t="s">
        <v>16</v>
      </c>
    </row>
    <row r="23" ht="18" customHeight="1" spans="1:4">
      <c r="A23" s="197" t="s">
        <v>25</v>
      </c>
      <c r="B23" s="185"/>
      <c r="C23" s="174"/>
      <c r="D23" s="174"/>
    </row>
    <row r="24" ht="27" customHeight="1" spans="1:4">
      <c r="A24" s="199" t="s">
        <v>26</v>
      </c>
      <c r="B24" s="185">
        <v>13</v>
      </c>
      <c r="C24" s="216">
        <f>694752-1</f>
        <v>694751</v>
      </c>
      <c r="D24" s="216">
        <v>733228</v>
      </c>
    </row>
    <row r="25" ht="18" customHeight="1" spans="1:4">
      <c r="A25" s="199" t="s">
        <v>27</v>
      </c>
      <c r="B25" s="185"/>
      <c r="C25" s="248">
        <v>25372</v>
      </c>
      <c r="D25" s="216">
        <v>36338</v>
      </c>
    </row>
    <row r="26" ht="27" customHeight="1" spans="1:4">
      <c r="A26" s="199" t="s">
        <v>28</v>
      </c>
      <c r="B26" s="185"/>
      <c r="C26" s="216">
        <v>1110</v>
      </c>
      <c r="D26" s="216">
        <v>15</v>
      </c>
    </row>
    <row r="27" spans="1:4">
      <c r="A27" s="199" t="s">
        <v>29</v>
      </c>
      <c r="B27" s="185"/>
      <c r="C27" s="248">
        <v>7796</v>
      </c>
      <c r="D27" s="216">
        <v>6888</v>
      </c>
    </row>
    <row r="28" spans="1:4">
      <c r="A28" s="199" t="s">
        <v>30</v>
      </c>
      <c r="B28" s="185"/>
      <c r="C28" s="216">
        <v>232584</v>
      </c>
      <c r="D28" s="216">
        <v>2935</v>
      </c>
    </row>
    <row r="29" ht="20.4" customHeight="1" spans="1:4">
      <c r="A29" s="199" t="s">
        <v>31</v>
      </c>
      <c r="B29" s="185"/>
      <c r="C29" s="185"/>
      <c r="D29" s="185"/>
    </row>
    <row r="30" ht="22.8" customHeight="1" spans="1:4">
      <c r="A30" s="228" t="s">
        <v>32</v>
      </c>
      <c r="B30" s="229" t="s">
        <v>16</v>
      </c>
      <c r="C30" s="230">
        <f>SUM(C24:C29)</f>
        <v>961613</v>
      </c>
      <c r="D30" s="230">
        <f>D24+D25+D26+D27+D29+D28</f>
        <v>779404</v>
      </c>
    </row>
    <row r="31" spans="1:4">
      <c r="A31" s="197" t="s">
        <v>33</v>
      </c>
      <c r="B31" s="185"/>
      <c r="C31" s="185"/>
      <c r="D31" s="185"/>
    </row>
    <row r="32" ht="20.4" customHeight="1" spans="1:4">
      <c r="A32" s="233" t="s">
        <v>34</v>
      </c>
      <c r="B32" s="234"/>
      <c r="C32" s="250">
        <f>355</f>
        <v>355</v>
      </c>
      <c r="D32" s="250">
        <v>21414</v>
      </c>
    </row>
    <row r="33" ht="20.4" customHeight="1" spans="1:4">
      <c r="A33" s="233" t="s">
        <v>35</v>
      </c>
      <c r="B33" s="234"/>
      <c r="C33" s="250">
        <v>1269680</v>
      </c>
      <c r="D33" s="250">
        <v>1009796</v>
      </c>
    </row>
    <row r="34" ht="22.8" customHeight="1" spans="1:4">
      <c r="A34" s="233" t="s">
        <v>36</v>
      </c>
      <c r="B34" s="234"/>
      <c r="C34" s="250">
        <f>3000000+623</f>
        <v>3000623</v>
      </c>
      <c r="D34" s="250">
        <v>3000709</v>
      </c>
    </row>
    <row r="35" ht="18" customHeight="1" spans="1:4">
      <c r="A35" s="225" t="s">
        <v>37</v>
      </c>
      <c r="B35" s="220" t="s">
        <v>16</v>
      </c>
      <c r="C35" s="226">
        <f>SUM(C32:C34)</f>
        <v>4270658</v>
      </c>
      <c r="D35" s="226">
        <f>SUM(D32:D34)</f>
        <v>4031919</v>
      </c>
    </row>
    <row r="36" ht="18" customHeight="1" spans="1:4">
      <c r="A36" s="251" t="s">
        <v>38</v>
      </c>
      <c r="B36" s="252"/>
      <c r="C36" s="253">
        <f>C30+C35</f>
        <v>5232271</v>
      </c>
      <c r="D36" s="253">
        <f>D30+D35</f>
        <v>4811323</v>
      </c>
    </row>
    <row r="37" spans="1:4">
      <c r="A37" s="197" t="s">
        <v>39</v>
      </c>
      <c r="B37" s="185"/>
      <c r="C37" s="174"/>
      <c r="D37" s="174"/>
    </row>
    <row r="38" ht="16.2" customHeight="1" spans="1:4">
      <c r="A38" s="199" t="s">
        <v>40</v>
      </c>
      <c r="B38" s="185">
        <v>14</v>
      </c>
      <c r="C38" s="216">
        <v>300000</v>
      </c>
      <c r="D38" s="216">
        <v>300000</v>
      </c>
    </row>
    <row r="39" ht="20.4" customHeight="1" spans="1:6">
      <c r="A39" s="199" t="s">
        <v>41</v>
      </c>
      <c r="B39" s="185"/>
      <c r="C39" s="216">
        <v>56556</v>
      </c>
      <c r="D39" s="216">
        <v>195441</v>
      </c>
      <c r="F39" s="18"/>
    </row>
    <row r="40" ht="16.8" customHeight="1" spans="1:4">
      <c r="A40" s="228" t="s">
        <v>42</v>
      </c>
      <c r="B40" s="229" t="s">
        <v>16</v>
      </c>
      <c r="C40" s="230">
        <f>C38+C39</f>
        <v>356556</v>
      </c>
      <c r="D40" s="230">
        <f>D38+D39</f>
        <v>495441</v>
      </c>
    </row>
    <row r="41" ht="21.6" customHeight="1" spans="1:4">
      <c r="A41" s="225" t="s">
        <v>43</v>
      </c>
      <c r="B41" s="220" t="s">
        <v>16</v>
      </c>
      <c r="C41" s="226">
        <f>C30+C35+C40</f>
        <v>5588827</v>
      </c>
      <c r="D41" s="226">
        <f>D30+D35+D40</f>
        <v>5306764</v>
      </c>
    </row>
    <row r="42" spans="1:4">
      <c r="A42" s="191"/>
      <c r="B42" s="185"/>
      <c r="C42" s="185"/>
      <c r="D42" s="185"/>
    </row>
    <row r="43" ht="18.6" customHeight="1" spans="1:4">
      <c r="A43" s="190"/>
      <c r="B43" s="190"/>
      <c r="C43" s="190"/>
      <c r="D43" s="190"/>
    </row>
    <row r="44" ht="26.4" customHeight="1" spans="1:4">
      <c r="A44" s="187"/>
      <c r="B44" s="188"/>
      <c r="C44" s="188"/>
      <c r="D44" s="191"/>
    </row>
    <row r="45" spans="1:2">
      <c r="A45" s="189" t="s">
        <v>44</v>
      </c>
      <c r="B45" s="189" t="s">
        <v>45</v>
      </c>
    </row>
    <row r="46" spans="1:2">
      <c r="A46" s="189"/>
      <c r="B46" s="189"/>
    </row>
    <row r="47" customHeight="1" spans="1:4">
      <c r="A47" s="189" t="s">
        <v>46</v>
      </c>
      <c r="B47" s="190" t="s">
        <v>47</v>
      </c>
      <c r="C47" s="190"/>
      <c r="D47" s="191"/>
    </row>
    <row r="48" spans="1:4">
      <c r="A48" s="192"/>
      <c r="B48" s="191"/>
      <c r="C48" s="191"/>
      <c r="D48" s="191"/>
    </row>
    <row r="49" spans="1:4">
      <c r="A49" s="180" t="s">
        <v>48</v>
      </c>
      <c r="B49" s="191"/>
      <c r="C49" s="191"/>
      <c r="D49" s="191"/>
    </row>
    <row r="50" spans="1:4">
      <c r="A50" s="193"/>
      <c r="B50" s="193"/>
      <c r="C50" s="193"/>
      <c r="D50" s="193"/>
    </row>
    <row r="51" spans="1:4">
      <c r="A51" s="191"/>
      <c r="B51" s="191"/>
      <c r="C51" s="191"/>
      <c r="D51" s="191"/>
    </row>
  </sheetData>
  <mergeCells count="5">
    <mergeCell ref="B44:C44"/>
    <mergeCell ref="B45:D45"/>
    <mergeCell ref="B47:C47"/>
    <mergeCell ref="A50:D50"/>
    <mergeCell ref="A2:D3"/>
  </mergeCells>
  <pageMargins left="0.7" right="0.7" top="0.590277777777778" bottom="0.511805555555556" header="0.3" footer="0.3"/>
  <pageSetup paperSize="9" scale="80" fitToWidth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C000"/>
  </sheetPr>
  <dimension ref="A1:G35"/>
  <sheetViews>
    <sheetView tabSelected="1" workbookViewId="0">
      <selection activeCell="D24" sqref="D24"/>
    </sheetView>
  </sheetViews>
  <sheetFormatPr defaultColWidth="9" defaultRowHeight="14.4" outlineLevelCol="6"/>
  <cols>
    <col min="1" max="1" width="51.5" style="240" customWidth="1"/>
    <col min="2" max="2" width="8.88888888888889" style="240" customWidth="1"/>
    <col min="3" max="3" width="16.4444444444444" style="240" customWidth="1"/>
    <col min="4" max="4" width="15.4444444444444" style="240" customWidth="1"/>
    <col min="5" max="5" width="12.3333333333333" style="240" customWidth="1"/>
    <col min="6" max="16384" width="9" style="240"/>
  </cols>
  <sheetData>
    <row r="1" spans="1:1">
      <c r="A1" s="241" t="s">
        <v>0</v>
      </c>
    </row>
    <row r="2" s="240" customFormat="1" ht="41.4" customHeight="1" spans="1:4">
      <c r="A2" s="173" t="s">
        <v>49</v>
      </c>
      <c r="B2" s="174"/>
      <c r="C2" s="174"/>
      <c r="D2" s="174"/>
    </row>
    <row r="3" s="240" customFormat="1" ht="19.8" customHeight="1" spans="1:4">
      <c r="A3" s="174"/>
      <c r="B3" s="174"/>
      <c r="C3" s="174"/>
      <c r="D3" s="174"/>
    </row>
    <row r="4" s="240" customFormat="1" ht="18.6" customHeight="1" spans="1:4">
      <c r="A4" s="175" t="s">
        <v>2</v>
      </c>
      <c r="B4" s="5" t="s">
        <v>3</v>
      </c>
      <c r="C4" s="5" t="s">
        <v>4</v>
      </c>
      <c r="D4" s="242" t="s">
        <v>50</v>
      </c>
    </row>
    <row r="5" s="240" customFormat="1" spans="1:4">
      <c r="A5" s="180" t="s">
        <v>51</v>
      </c>
      <c r="B5" s="185">
        <v>4</v>
      </c>
      <c r="C5" s="216">
        <f>'Отчет о совокуп.доходе '!C5</f>
        <v>239878</v>
      </c>
      <c r="D5" s="243">
        <f>'Отчет о совокуп.доходе '!D5</f>
        <v>48644</v>
      </c>
    </row>
    <row r="6" s="240" customFormat="1" spans="1:4">
      <c r="A6" s="180" t="s">
        <v>52</v>
      </c>
      <c r="B6" s="185">
        <v>5</v>
      </c>
      <c r="C6" s="216">
        <f>'Отчет о совокуп.доходе '!C6</f>
        <v>-130927</v>
      </c>
      <c r="D6" s="243">
        <f>'Отчет о совокуп.доходе '!D6</f>
        <v>-52473</v>
      </c>
    </row>
    <row r="7" s="240" customFormat="1" spans="1:4">
      <c r="A7" s="180" t="s">
        <v>53</v>
      </c>
      <c r="B7" s="185">
        <v>6</v>
      </c>
      <c r="C7" s="216">
        <f>'Отчет о совокуп.доходе '!C10</f>
        <v>-20096</v>
      </c>
      <c r="D7" s="243">
        <f>'Отчет о совокуп.доходе '!D10</f>
        <v>-30019</v>
      </c>
    </row>
    <row r="8" s="240" customFormat="1" ht="15.15" spans="1:4">
      <c r="A8" s="219" t="s">
        <v>54</v>
      </c>
      <c r="B8" s="220"/>
      <c r="C8" s="221">
        <f>C5+C6+C7</f>
        <v>88855</v>
      </c>
      <c r="D8" s="221">
        <f>D5+D6+D7</f>
        <v>-33848</v>
      </c>
    </row>
    <row r="9" s="240" customFormat="1" ht="0.6" customHeight="1" spans="1:4">
      <c r="A9" s="244"/>
      <c r="B9" s="185"/>
      <c r="C9" s="185"/>
      <c r="D9" s="222"/>
    </row>
    <row r="10" s="240" customFormat="1" ht="19.2" customHeight="1" spans="1:7">
      <c r="A10" s="180" t="s">
        <v>55</v>
      </c>
      <c r="B10" s="185">
        <v>7</v>
      </c>
      <c r="C10" s="216">
        <f>'Отчет о совокуп.доходе '!C7+'Отчет о совокуп.доходе '!C8</f>
        <v>6147</v>
      </c>
      <c r="D10" s="243">
        <f>'Отчет о совокуп.доходе '!D7+'Отчет о совокуп.доходе '!D8</f>
        <v>4266</v>
      </c>
      <c r="G10" s="245"/>
    </row>
    <row r="11" s="240" customFormat="1" ht="46.8" customHeight="1" spans="1:4">
      <c r="A11" s="199" t="s">
        <v>56</v>
      </c>
      <c r="B11" s="185">
        <v>8</v>
      </c>
      <c r="C11" s="216">
        <v>17829</v>
      </c>
      <c r="D11" s="222"/>
    </row>
    <row r="12" s="240" customFormat="1" ht="13.2" customHeight="1" spans="1:4">
      <c r="A12" s="225" t="s">
        <v>57</v>
      </c>
      <c r="B12" s="220"/>
      <c r="C12" s="226">
        <f>C10+C11+C8</f>
        <v>112831</v>
      </c>
      <c r="D12" s="226">
        <f>D8+D10</f>
        <v>-29582</v>
      </c>
    </row>
    <row r="13" s="240" customFormat="1" hidden="1" spans="1:4">
      <c r="A13" s="227"/>
      <c r="B13" s="185"/>
      <c r="C13" s="185"/>
      <c r="D13" s="222"/>
    </row>
    <row r="14" s="240" customFormat="1" ht="15.6" customHeight="1" spans="1:4">
      <c r="A14" s="199" t="s">
        <v>58</v>
      </c>
      <c r="B14" s="185">
        <v>9</v>
      </c>
      <c r="C14" s="246">
        <v>-720</v>
      </c>
      <c r="D14" s="243">
        <f>'Отчет о совокуп.доходе '!D18</f>
        <v>7954</v>
      </c>
    </row>
    <row r="15" s="240" customFormat="1" ht="12" customHeight="1" spans="1:4">
      <c r="A15" s="228" t="s">
        <v>59</v>
      </c>
      <c r="B15" s="229" t="s">
        <v>16</v>
      </c>
      <c r="C15" s="230">
        <f>SUM(C12:C14)</f>
        <v>112111</v>
      </c>
      <c r="D15" s="230">
        <f>SUM(D12:D14)</f>
        <v>-21628</v>
      </c>
    </row>
    <row r="16" s="240" customFormat="1" ht="18.6" customHeight="1" spans="1:4">
      <c r="A16" s="231" t="s">
        <v>60</v>
      </c>
      <c r="B16" s="232" t="s">
        <v>61</v>
      </c>
      <c r="C16" s="232"/>
      <c r="D16" s="222"/>
    </row>
    <row r="17" s="240" customFormat="1" ht="15.15" hidden="1" spans="1:4">
      <c r="A17" s="233"/>
      <c r="B17" s="234"/>
      <c r="C17" s="234"/>
      <c r="D17" s="222" t="s">
        <v>62</v>
      </c>
    </row>
    <row r="18" s="240" customFormat="1" ht="43" customHeight="1" spans="1:4">
      <c r="A18" s="235" t="s">
        <v>63</v>
      </c>
      <c r="B18" s="236" t="s">
        <v>16</v>
      </c>
      <c r="C18" s="237">
        <f>C15+C16</f>
        <v>112111</v>
      </c>
      <c r="D18" s="237">
        <f>D15+D16</f>
        <v>-21628</v>
      </c>
    </row>
    <row r="19" s="240" customFormat="1" hidden="1" spans="1:4">
      <c r="A19" s="197"/>
      <c r="B19" s="174"/>
      <c r="C19" s="174"/>
      <c r="D19" s="174"/>
    </row>
    <row r="20" s="240" customFormat="1" ht="15.15" hidden="1" spans="1:4">
      <c r="A20" s="225"/>
      <c r="B20" s="220"/>
      <c r="C20" s="220"/>
      <c r="D20" s="220"/>
    </row>
    <row r="21" s="240" customFormat="1" ht="6.6" hidden="1" customHeight="1" spans="1:4">
      <c r="A21" s="238"/>
      <c r="B21" s="244"/>
      <c r="C21" s="244"/>
      <c r="D21" s="244"/>
    </row>
    <row r="22" s="240" customFormat="1" hidden="1" spans="1:4">
      <c r="A22" s="238"/>
      <c r="B22" s="244"/>
      <c r="C22" s="244"/>
      <c r="D22" s="244"/>
    </row>
    <row r="23" s="240" customFormat="1" hidden="1" spans="1:4">
      <c r="A23" s="238"/>
      <c r="B23" s="244"/>
      <c r="C23" s="244"/>
      <c r="D23" s="244"/>
    </row>
    <row r="24" s="240" customFormat="1" ht="26.4" customHeight="1" spans="1:4">
      <c r="A24" s="244"/>
      <c r="B24" s="244"/>
      <c r="C24" s="244"/>
      <c r="D24" s="244"/>
    </row>
    <row r="25" s="240" customFormat="1" spans="1:4">
      <c r="A25" s="187"/>
      <c r="B25" s="173"/>
      <c r="C25" s="173"/>
      <c r="D25" s="244"/>
    </row>
    <row r="26" s="240" customFormat="1" ht="18" customHeight="1" spans="1:5">
      <c r="A26" s="189" t="s">
        <v>44</v>
      </c>
      <c r="B26" s="189" t="s">
        <v>64</v>
      </c>
      <c r="E26" s="247"/>
    </row>
    <row r="27" s="240" customFormat="1" ht="15" customHeight="1" spans="1:5">
      <c r="A27" s="189"/>
      <c r="B27" s="189"/>
      <c r="E27" s="247"/>
    </row>
    <row r="28" s="240" customFormat="1" ht="4.2" customHeight="1" spans="1:5">
      <c r="A28" s="189"/>
      <c r="B28" s="189"/>
      <c r="E28" s="247"/>
    </row>
    <row r="29" s="240" customFormat="1" ht="12.6" customHeight="1" spans="1:5">
      <c r="A29" s="189" t="s">
        <v>46</v>
      </c>
      <c r="B29" s="190" t="s">
        <v>47</v>
      </c>
      <c r="C29" s="190"/>
      <c r="D29" s="244"/>
      <c r="E29" s="247"/>
    </row>
    <row r="30" s="240" customFormat="1" spans="1:5">
      <c r="A30" s="192"/>
      <c r="B30" s="244"/>
      <c r="C30" s="244"/>
      <c r="D30" s="244"/>
      <c r="E30" s="247"/>
    </row>
    <row r="31" s="240" customFormat="1" spans="1:5">
      <c r="A31" s="180"/>
      <c r="B31" s="244"/>
      <c r="C31" s="244"/>
      <c r="D31" s="244"/>
      <c r="E31" s="247"/>
    </row>
    <row r="32" s="240" customFormat="1" spans="1:5">
      <c r="A32" s="193" t="s">
        <v>48</v>
      </c>
      <c r="B32" s="193"/>
      <c r="C32" s="193"/>
      <c r="D32" s="193"/>
      <c r="E32" s="247"/>
    </row>
    <row r="33" s="240" customFormat="1" spans="1:5">
      <c r="A33" s="180"/>
      <c r="B33" s="244"/>
      <c r="C33" s="244"/>
      <c r="D33" s="244"/>
      <c r="E33" s="247"/>
    </row>
    <row r="34" s="240" customFormat="1" spans="1:5">
      <c r="A34" s="180"/>
      <c r="B34" s="247"/>
      <c r="C34" s="247"/>
      <c r="D34" s="247"/>
      <c r="E34" s="247"/>
    </row>
    <row r="35" s="240" customFormat="1" spans="1:5">
      <c r="A35" s="247"/>
      <c r="B35" s="247"/>
      <c r="C35" s="247"/>
      <c r="D35" s="247"/>
      <c r="E35" s="247"/>
    </row>
  </sheetData>
  <mergeCells count="12">
    <mergeCell ref="B25:C25"/>
    <mergeCell ref="B26:D26"/>
    <mergeCell ref="B29:C29"/>
    <mergeCell ref="A32:D32"/>
    <mergeCell ref="A16:A17"/>
    <mergeCell ref="A18:A20"/>
    <mergeCell ref="B16:B17"/>
    <mergeCell ref="B18:B20"/>
    <mergeCell ref="C16:C17"/>
    <mergeCell ref="C18:C20"/>
    <mergeCell ref="D18:D20"/>
    <mergeCell ref="A2:D3"/>
  </mergeCells>
  <pageMargins left="0.393055555555556" right="0.393055555555556" top="1" bottom="1" header="0.5" footer="0.5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7"/>
  <sheetViews>
    <sheetView workbookViewId="0">
      <selection activeCell="L10" sqref="L10"/>
    </sheetView>
  </sheetViews>
  <sheetFormatPr defaultColWidth="9" defaultRowHeight="14.4" outlineLevelCol="7"/>
  <cols>
    <col min="1" max="1" width="54.7777777777778" style="1" customWidth="1"/>
    <col min="2" max="2" width="8.88888888888889" style="1" customWidth="1"/>
    <col min="3" max="3" width="17.3333333333333" style="1" customWidth="1"/>
    <col min="4" max="4" width="20.5555555555556" style="1" customWidth="1"/>
    <col min="5" max="5" width="12.3333333333333" style="1" hidden="1" customWidth="1"/>
    <col min="6" max="6" width="14.1111111111111" style="1" hidden="1" customWidth="1"/>
    <col min="7" max="8" width="8.88888888888889" style="1" hidden="1" customWidth="1"/>
    <col min="9" max="9" width="20" style="1" hidden="1" customWidth="1"/>
    <col min="10" max="16384" width="8.88888888888889" style="1"/>
  </cols>
  <sheetData>
    <row r="1" spans="1:1">
      <c r="A1" s="172" t="s">
        <v>0</v>
      </c>
    </row>
    <row r="2" ht="41.4" customHeight="1" spans="1:4">
      <c r="A2" s="173" t="s">
        <v>49</v>
      </c>
      <c r="B2" s="174"/>
      <c r="C2" s="174"/>
      <c r="D2" s="174"/>
    </row>
    <row r="3" ht="19.8" customHeight="1" spans="1:4">
      <c r="A3" s="174"/>
      <c r="B3" s="174"/>
      <c r="C3" s="174"/>
      <c r="D3" s="174"/>
    </row>
    <row r="4" ht="18.6" customHeight="1" spans="1:4">
      <c r="A4" s="175" t="s">
        <v>2</v>
      </c>
      <c r="B4" s="5" t="s">
        <v>3</v>
      </c>
      <c r="C4" s="5" t="s">
        <v>65</v>
      </c>
      <c r="D4" s="5" t="s">
        <v>66</v>
      </c>
    </row>
    <row r="5" spans="1:8">
      <c r="A5" s="180" t="s">
        <v>51</v>
      </c>
      <c r="B5" s="185">
        <v>1</v>
      </c>
      <c r="C5" s="217">
        <f>ПЗ!C7</f>
        <v>239878</v>
      </c>
      <c r="D5" s="217">
        <v>48644</v>
      </c>
      <c r="F5" s="11"/>
      <c r="H5" s="18"/>
    </row>
    <row r="6" spans="1:6">
      <c r="A6" s="180" t="s">
        <v>52</v>
      </c>
      <c r="B6" s="185">
        <v>2</v>
      </c>
      <c r="C6" s="217">
        <f>-ПЗ!C35</f>
        <v>-130927</v>
      </c>
      <c r="D6" s="217">
        <v>-52473</v>
      </c>
      <c r="F6" s="11">
        <f>421636-203660-30240-29730+3168</f>
        <v>161174</v>
      </c>
    </row>
    <row r="7" spans="1:7">
      <c r="A7" s="199" t="s">
        <v>67</v>
      </c>
      <c r="B7" s="185">
        <v>3</v>
      </c>
      <c r="C7" s="218">
        <f>ПЗ!C43</f>
        <v>257049</v>
      </c>
      <c r="D7" s="217">
        <v>55685</v>
      </c>
      <c r="F7" s="18">
        <f>C5+C7</f>
        <v>496927</v>
      </c>
      <c r="G7" s="18"/>
    </row>
    <row r="8" spans="1:6">
      <c r="A8" s="180" t="s">
        <v>68</v>
      </c>
      <c r="B8" s="185">
        <v>4</v>
      </c>
      <c r="C8" s="217">
        <f>-ПЗ!C50</f>
        <v>-250902</v>
      </c>
      <c r="D8" s="217">
        <v>-51419</v>
      </c>
      <c r="F8" s="11">
        <v>-203660</v>
      </c>
    </row>
    <row r="9" ht="26.4" spans="1:6">
      <c r="A9" s="199" t="s">
        <v>69</v>
      </c>
      <c r="B9" s="185">
        <v>5</v>
      </c>
      <c r="C9" s="217">
        <f>ПЗ!C56</f>
        <v>17829</v>
      </c>
      <c r="D9" s="217"/>
      <c r="F9" s="11"/>
    </row>
    <row r="10" spans="1:6">
      <c r="A10" s="180" t="s">
        <v>70</v>
      </c>
      <c r="B10" s="185">
        <v>6</v>
      </c>
      <c r="C10" s="217">
        <f>ПЗ!C62</f>
        <v>-20096</v>
      </c>
      <c r="D10" s="217">
        <v>-30019</v>
      </c>
      <c r="F10" s="11"/>
    </row>
    <row r="12" ht="15.6" hidden="1" customHeight="1" spans="1:4">
      <c r="A12" s="219" t="s">
        <v>71</v>
      </c>
      <c r="B12" s="220"/>
      <c r="C12" s="221">
        <f>C5+C6+C10+C8</f>
        <v>-162047</v>
      </c>
      <c r="D12" s="221">
        <f>D5+D6+D10+D8</f>
        <v>-85267</v>
      </c>
    </row>
    <row r="13" hidden="1" customHeight="1" spans="1:4">
      <c r="A13" s="191"/>
      <c r="B13" s="185"/>
      <c r="C13" s="185"/>
      <c r="D13" s="222"/>
    </row>
    <row r="14" ht="15.6" hidden="1" customHeight="1"/>
    <row r="15" ht="15.6" customHeight="1" spans="1:4">
      <c r="A15" s="199" t="s">
        <v>72</v>
      </c>
      <c r="B15" s="185"/>
      <c r="C15" s="223"/>
      <c r="D15" s="224"/>
    </row>
    <row r="16" ht="13.2" customHeight="1" spans="1:4">
      <c r="A16" s="225" t="s">
        <v>73</v>
      </c>
      <c r="B16" s="220"/>
      <c r="C16" s="226">
        <f>C5+C6+C7+C8+C10+C9</f>
        <v>112831</v>
      </c>
      <c r="D16" s="226">
        <f>D5+D6+D7+D8+D10+D9</f>
        <v>-29582</v>
      </c>
    </row>
    <row r="17" spans="1:4">
      <c r="A17" s="227"/>
      <c r="B17" s="185"/>
      <c r="C17" s="185"/>
      <c r="D17" s="222"/>
    </row>
    <row r="18" ht="15.6" customHeight="1" spans="1:6">
      <c r="A18" s="199" t="s">
        <v>58</v>
      </c>
      <c r="B18" s="185">
        <v>9</v>
      </c>
      <c r="C18" s="216">
        <f>ПЗ!C69</f>
        <v>-720</v>
      </c>
      <c r="D18" s="217">
        <v>7954</v>
      </c>
      <c r="F18" s="11">
        <f>C7+C10</f>
        <v>236953</v>
      </c>
    </row>
    <row r="19" ht="12" customHeight="1" spans="1:4">
      <c r="A19" s="228" t="s">
        <v>59</v>
      </c>
      <c r="B19" s="229" t="s">
        <v>16</v>
      </c>
      <c r="C19" s="230">
        <f>SUM(C16:C18)</f>
        <v>112111</v>
      </c>
      <c r="D19" s="230">
        <f>SUM(D16:D18)</f>
        <v>-21628</v>
      </c>
    </row>
    <row r="20" ht="18.6" customHeight="1" spans="1:4">
      <c r="A20" s="231" t="s">
        <v>60</v>
      </c>
      <c r="B20" s="232" t="s">
        <v>61</v>
      </c>
      <c r="C20" s="232"/>
      <c r="D20" s="222"/>
    </row>
    <row r="21" ht="13.2" customHeight="1" spans="1:4">
      <c r="A21" s="233"/>
      <c r="B21" s="234"/>
      <c r="C21" s="234"/>
      <c r="D21" s="222" t="s">
        <v>62</v>
      </c>
    </row>
    <row r="22" spans="1:4">
      <c r="A22" s="235" t="s">
        <v>63</v>
      </c>
      <c r="B22" s="236" t="s">
        <v>16</v>
      </c>
      <c r="C22" s="237">
        <f>C19+C20</f>
        <v>112111</v>
      </c>
      <c r="D22" s="237">
        <f>D19+D20</f>
        <v>-21628</v>
      </c>
    </row>
    <row r="23" spans="1:4">
      <c r="A23" s="197"/>
      <c r="B23" s="174"/>
      <c r="C23" s="174"/>
      <c r="D23" s="174"/>
    </row>
    <row r="24" ht="15.15" spans="1:4">
      <c r="A24" s="225"/>
      <c r="B24" s="220"/>
      <c r="C24" s="220"/>
      <c r="D24" s="220"/>
    </row>
    <row r="25" customHeight="1" spans="1:4">
      <c r="A25" s="238"/>
      <c r="B25" s="191"/>
      <c r="C25" s="191"/>
      <c r="D25" s="191"/>
    </row>
    <row r="26" ht="13.2" customHeight="1" spans="1:4">
      <c r="A26" s="238"/>
      <c r="B26" s="191"/>
      <c r="C26" s="191"/>
      <c r="D26" s="191"/>
    </row>
    <row r="27" spans="1:4">
      <c r="A27" s="190"/>
      <c r="B27" s="190"/>
      <c r="C27" s="190"/>
      <c r="D27" s="190"/>
    </row>
    <row r="28" spans="1:4">
      <c r="A28" s="191"/>
      <c r="B28" s="191"/>
      <c r="C28" s="191"/>
      <c r="D28" s="191"/>
    </row>
    <row r="29" spans="1:4">
      <c r="A29" s="187"/>
      <c r="B29" s="173"/>
      <c r="C29" s="173"/>
      <c r="D29" s="191"/>
    </row>
    <row r="30" customHeight="1" spans="1:5">
      <c r="A30" s="189" t="s">
        <v>44</v>
      </c>
      <c r="B30" s="190" t="s">
        <v>45</v>
      </c>
      <c r="C30" s="190"/>
      <c r="D30" s="191"/>
      <c r="E30" s="184"/>
    </row>
    <row r="31" ht="12.6" customHeight="1" spans="1:5">
      <c r="A31" s="189" t="s">
        <v>74</v>
      </c>
      <c r="B31" s="190" t="s">
        <v>75</v>
      </c>
      <c r="C31" s="190"/>
      <c r="E31" s="184"/>
    </row>
    <row r="32" spans="1:5">
      <c r="A32" s="239"/>
      <c r="B32" s="191"/>
      <c r="C32" s="191"/>
      <c r="D32" s="191"/>
      <c r="E32" s="184"/>
    </row>
    <row r="33" spans="1:5">
      <c r="A33" s="239"/>
      <c r="B33" s="191"/>
      <c r="C33" s="191"/>
      <c r="D33" s="191"/>
      <c r="E33" s="184"/>
    </row>
    <row r="34" spans="1:5">
      <c r="A34" s="180" t="s">
        <v>76</v>
      </c>
      <c r="B34" s="191"/>
      <c r="C34" s="191"/>
      <c r="D34" s="191"/>
      <c r="E34" s="184"/>
    </row>
    <row r="35" spans="1:5">
      <c r="A35" s="180"/>
      <c r="B35" s="191"/>
      <c r="C35" s="191"/>
      <c r="D35" s="191"/>
      <c r="E35" s="184"/>
    </row>
    <row r="36" spans="1:5">
      <c r="A36" s="180"/>
      <c r="B36" s="184"/>
      <c r="C36" s="184"/>
      <c r="D36" s="184"/>
      <c r="E36" s="184"/>
    </row>
    <row r="37" spans="1:5">
      <c r="A37" s="184"/>
      <c r="B37" s="184"/>
      <c r="C37" s="184"/>
      <c r="D37" s="184"/>
      <c r="E37" s="184"/>
    </row>
  </sheetData>
  <mergeCells count="12">
    <mergeCell ref="A27:D27"/>
    <mergeCell ref="B29:C29"/>
    <mergeCell ref="B30:C30"/>
    <mergeCell ref="B31:D31"/>
    <mergeCell ref="A20:A21"/>
    <mergeCell ref="A22:A24"/>
    <mergeCell ref="B20:B21"/>
    <mergeCell ref="B22:B24"/>
    <mergeCell ref="C20:C21"/>
    <mergeCell ref="C22:C24"/>
    <mergeCell ref="D22:D24"/>
    <mergeCell ref="A2:D3"/>
  </mergeCells>
  <pageMargins left="1.10236220472441" right="0.31496062992126" top="0.748031496062992" bottom="0.748031496062992" header="0.31496062992126" footer="0.31496062992126"/>
  <pageSetup paperSize="9" scale="85" fitToHeight="0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47"/>
  <sheetViews>
    <sheetView zoomScale="85" zoomScaleNormal="85" workbookViewId="0">
      <selection activeCell="A1" sqref="A1"/>
    </sheetView>
  </sheetViews>
  <sheetFormatPr defaultColWidth="9" defaultRowHeight="14.4" outlineLevelCol="4"/>
  <cols>
    <col min="1" max="1" width="61.3333333333333" style="1" customWidth="1"/>
    <col min="2" max="2" width="15.4166666666667" style="1" customWidth="1"/>
    <col min="3" max="3" width="13.6666666666667" style="1" customWidth="1"/>
    <col min="4" max="4" width="8.88888888888889" style="1"/>
    <col min="5" max="5" width="9.88888888888889" style="1" customWidth="1"/>
    <col min="6" max="16384" width="8.88888888888889" style="1"/>
  </cols>
  <sheetData>
    <row r="1" spans="1:1">
      <c r="A1" s="172" t="s">
        <v>0</v>
      </c>
    </row>
    <row r="2" spans="1:3">
      <c r="A2" s="173" t="s">
        <v>77</v>
      </c>
      <c r="B2" s="174"/>
      <c r="C2" s="174"/>
    </row>
    <row r="3" ht="24" customHeight="1" spans="1:3">
      <c r="A3" s="174"/>
      <c r="B3" s="174"/>
      <c r="C3" s="174"/>
    </row>
    <row r="4" ht="27.6" spans="1:4">
      <c r="A4" s="194" t="s">
        <v>2</v>
      </c>
      <c r="B4" s="195" t="s">
        <v>4</v>
      </c>
      <c r="C4" s="195" t="s">
        <v>50</v>
      </c>
      <c r="D4" s="196"/>
    </row>
    <row r="5" spans="1:3">
      <c r="A5" s="197" t="s">
        <v>78</v>
      </c>
      <c r="B5" s="198"/>
      <c r="C5" s="198"/>
    </row>
    <row r="6" ht="18.6" customHeight="1" spans="1:3">
      <c r="A6" s="199" t="s">
        <v>79</v>
      </c>
      <c r="B6" s="200">
        <f>2620484-972026-258004-68080+27462</f>
        <v>1349836</v>
      </c>
      <c r="C6" s="201">
        <f>-551997</f>
        <v>-551997</v>
      </c>
    </row>
    <row r="7" ht="17.4" customHeight="1" spans="1:3">
      <c r="A7" s="199" t="s">
        <v>80</v>
      </c>
      <c r="B7" s="200">
        <f>27077</f>
        <v>27077</v>
      </c>
      <c r="C7" s="201">
        <v>-5063</v>
      </c>
    </row>
    <row r="8" ht="20.4" customHeight="1" spans="1:3">
      <c r="A8" s="199" t="s">
        <v>81</v>
      </c>
      <c r="B8" s="200">
        <f>-73834+26</f>
        <v>-73808</v>
      </c>
      <c r="C8" s="18">
        <v>-22955</v>
      </c>
    </row>
    <row r="9" ht="20.4" customHeight="1" spans="1:3">
      <c r="A9" s="199" t="s">
        <v>82</v>
      </c>
      <c r="B9" s="200">
        <f>-258004-881056</f>
        <v>-1139060</v>
      </c>
      <c r="C9" s="18">
        <v>-590342</v>
      </c>
    </row>
    <row r="10" ht="18.6" customHeight="1" spans="1:3">
      <c r="A10" s="199" t="s">
        <v>83</v>
      </c>
      <c r="B10" s="200">
        <f>1318667-2597000</f>
        <v>-1278333</v>
      </c>
      <c r="C10" s="18">
        <v>-220000</v>
      </c>
    </row>
    <row r="11" ht="18.6" customHeight="1" spans="1:3">
      <c r="A11" s="199" t="s">
        <v>84</v>
      </c>
      <c r="B11" s="200">
        <f>-32923</f>
        <v>-32923</v>
      </c>
      <c r="C11" s="200">
        <v>-10699</v>
      </c>
    </row>
    <row r="12" ht="18.6" customHeight="1" spans="1:3">
      <c r="A12" s="199" t="s">
        <v>85</v>
      </c>
      <c r="B12" s="200">
        <f>-23189-22256-30510-6357-807-686+16-940-8033</f>
        <v>-92762</v>
      </c>
      <c r="C12" s="18">
        <v>-5653</v>
      </c>
    </row>
    <row r="13" ht="18.6" customHeight="1" spans="1:3">
      <c r="A13" s="199" t="s">
        <v>86</v>
      </c>
      <c r="B13" s="200">
        <f>2744+140197</f>
        <v>142941</v>
      </c>
      <c r="C13" s="18"/>
    </row>
    <row r="14" ht="18.6" customHeight="1" spans="1:3">
      <c r="A14" s="199" t="s">
        <v>87</v>
      </c>
      <c r="B14" s="200">
        <v>-6436</v>
      </c>
      <c r="C14" s="200"/>
    </row>
    <row r="15" ht="28.8" customHeight="1" spans="1:3">
      <c r="A15" s="202" t="s">
        <v>88</v>
      </c>
      <c r="B15" s="203">
        <f>B6+B7+B8+B10+B11+B12+B13+B14+B9</f>
        <v>-1103468</v>
      </c>
      <c r="C15" s="203">
        <f>C6+C7+C8+C9+C10+C11+C12+C13+C14</f>
        <v>-1406709</v>
      </c>
    </row>
    <row r="16" spans="1:3">
      <c r="A16" s="197" t="s">
        <v>89</v>
      </c>
      <c r="B16" s="204"/>
      <c r="C16" s="205"/>
    </row>
    <row r="17" ht="18.6" customHeight="1" spans="1:3">
      <c r="A17" s="199" t="s">
        <v>90</v>
      </c>
      <c r="B17" s="200">
        <v>-2227</v>
      </c>
      <c r="C17" s="200">
        <v>-917</v>
      </c>
    </row>
    <row r="18" ht="20.4" customHeight="1" spans="1:3">
      <c r="A18" s="199" t="s">
        <v>91</v>
      </c>
      <c r="B18" s="200">
        <f>-3961-3223</f>
        <v>-7184</v>
      </c>
      <c r="C18" s="200">
        <v>-29730</v>
      </c>
    </row>
    <row r="19" ht="20.4" customHeight="1" spans="1:3">
      <c r="A19" s="199" t="s">
        <v>92</v>
      </c>
      <c r="B19" s="200">
        <f>20753</f>
        <v>20753</v>
      </c>
      <c r="C19" s="200">
        <v>-59284</v>
      </c>
    </row>
    <row r="20" ht="19.8" customHeight="1" spans="1:5">
      <c r="A20" s="199" t="s">
        <v>93</v>
      </c>
      <c r="B20" s="200">
        <v>1121498</v>
      </c>
      <c r="C20" s="200">
        <v>0</v>
      </c>
      <c r="E20" s="18"/>
    </row>
    <row r="21" ht="20.4" customHeight="1" spans="1:5">
      <c r="A21" s="197" t="s">
        <v>94</v>
      </c>
      <c r="B21" s="206">
        <f>B20+B18+B17+B19</f>
        <v>1132840</v>
      </c>
      <c r="C21" s="206">
        <f>C20+C18+C19+C17</f>
        <v>-89931</v>
      </c>
      <c r="D21" s="207"/>
      <c r="E21" s="18"/>
    </row>
    <row r="22" ht="9" customHeight="1" spans="1:5">
      <c r="A22" s="197"/>
      <c r="B22" s="208"/>
      <c r="C22" s="200"/>
      <c r="E22" s="18"/>
    </row>
    <row r="23" spans="1:5">
      <c r="A23" s="202" t="s">
        <v>95</v>
      </c>
      <c r="B23" s="209"/>
      <c r="C23" s="210"/>
      <c r="E23" s="18"/>
    </row>
    <row r="24" spans="1:3">
      <c r="A24" s="199" t="s">
        <v>96</v>
      </c>
      <c r="C24" s="211"/>
    </row>
    <row r="25" spans="1:3">
      <c r="A25" s="180" t="s">
        <v>97</v>
      </c>
      <c r="B25" s="200">
        <f>240000+250000</f>
        <v>490000</v>
      </c>
      <c r="C25" s="200">
        <v>1900000</v>
      </c>
    </row>
    <row r="26" spans="1:3">
      <c r="A26" s="180" t="s">
        <v>98</v>
      </c>
      <c r="B26" s="200">
        <v>-240000</v>
      </c>
      <c r="C26" s="200">
        <v>-1943705</v>
      </c>
    </row>
    <row r="27" spans="1:3">
      <c r="A27" s="180" t="s">
        <v>99</v>
      </c>
      <c r="B27" s="200"/>
      <c r="C27" s="200">
        <v>1500000</v>
      </c>
    </row>
    <row r="28" spans="1:3">
      <c r="A28" s="180" t="s">
        <v>100</v>
      </c>
      <c r="B28" s="200">
        <f>-211292</f>
        <v>-211292</v>
      </c>
      <c r="C28" s="200">
        <v>0</v>
      </c>
    </row>
    <row r="29" ht="34.2" customHeight="1" spans="1:3">
      <c r="A29" s="197" t="s">
        <v>101</v>
      </c>
      <c r="B29" s="205">
        <f>B25+B26+B28</f>
        <v>38708</v>
      </c>
      <c r="C29" s="205">
        <f>C25+C26+C28+C27</f>
        <v>1456295</v>
      </c>
    </row>
    <row r="30" hidden="1" customHeight="1" spans="1:3">
      <c r="A30" s="197"/>
      <c r="B30" s="205"/>
      <c r="C30" s="205" t="s">
        <v>62</v>
      </c>
    </row>
    <row r="31" spans="1:3">
      <c r="A31" s="199" t="s">
        <v>102</v>
      </c>
      <c r="B31" s="200" t="s">
        <v>62</v>
      </c>
      <c r="C31" s="200" t="s">
        <v>62</v>
      </c>
    </row>
    <row r="32" ht="25.2" customHeight="1" spans="1:3">
      <c r="A32" s="197" t="s">
        <v>103</v>
      </c>
      <c r="B32" s="205">
        <f>B15+B21+B29</f>
        <v>68080</v>
      </c>
      <c r="C32" s="205">
        <v>40345</v>
      </c>
    </row>
    <row r="33" ht="6.6" hidden="1" customHeight="1" spans="1:3">
      <c r="A33" s="202"/>
      <c r="B33" s="210"/>
      <c r="C33" s="210" t="s">
        <v>62</v>
      </c>
    </row>
    <row r="34" hidden="1" spans="1:3">
      <c r="A34" s="199" t="s">
        <v>104</v>
      </c>
      <c r="B34" s="205">
        <f>-2498</f>
        <v>-2498</v>
      </c>
      <c r="C34" s="205"/>
    </row>
    <row r="35" ht="19.8" customHeight="1" spans="1:5">
      <c r="A35" s="199" t="s">
        <v>105</v>
      </c>
      <c r="B35" s="181">
        <f>'Отчет о фин.полож. '!D7</f>
        <v>398020</v>
      </c>
      <c r="C35" s="200"/>
      <c r="E35" s="18"/>
    </row>
    <row r="36" ht="18.6" customHeight="1" spans="1:3">
      <c r="A36" s="212" t="s">
        <v>106</v>
      </c>
      <c r="B36" s="213">
        <f>'Отчет о фин.полож. '!C7</f>
        <v>329940</v>
      </c>
      <c r="C36" s="214">
        <f>C32</f>
        <v>40345</v>
      </c>
    </row>
    <row r="37" ht="2.4" customHeight="1" spans="1:3">
      <c r="A37" s="202"/>
      <c r="B37" s="203"/>
      <c r="C37" s="209" t="s">
        <v>62</v>
      </c>
    </row>
    <row r="38" spans="1:3">
      <c r="A38" s="184"/>
      <c r="B38" s="184"/>
      <c r="C38" s="215"/>
    </row>
    <row r="39" spans="1:3">
      <c r="A39" s="216"/>
      <c r="B39" s="185"/>
      <c r="C39" s="185"/>
    </row>
    <row r="40" spans="2:2">
      <c r="B40" s="18"/>
    </row>
    <row r="41" spans="1:4">
      <c r="A41" s="187"/>
      <c r="B41" s="188"/>
      <c r="C41" s="188"/>
      <c r="D41" s="184"/>
    </row>
    <row r="42" customHeight="1" spans="1:2">
      <c r="A42" s="189" t="s">
        <v>44</v>
      </c>
      <c r="B42" s="189" t="s">
        <v>64</v>
      </c>
    </row>
    <row r="43" spans="1:2">
      <c r="A43" s="189"/>
      <c r="B43" s="189"/>
    </row>
    <row r="44" customHeight="1" spans="1:4">
      <c r="A44" s="189" t="s">
        <v>46</v>
      </c>
      <c r="B44" s="190" t="s">
        <v>47</v>
      </c>
      <c r="C44" s="190"/>
      <c r="D44" s="191"/>
    </row>
    <row r="45" spans="1:4">
      <c r="A45" s="192"/>
      <c r="B45" s="191"/>
      <c r="C45" s="191"/>
      <c r="D45" s="191"/>
    </row>
    <row r="46" spans="1:4">
      <c r="A46" s="180"/>
      <c r="B46" s="191"/>
      <c r="C46" s="191"/>
      <c r="D46" s="191"/>
    </row>
    <row r="47" spans="1:4">
      <c r="A47" s="193" t="s">
        <v>48</v>
      </c>
      <c r="B47" s="193"/>
      <c r="C47" s="193"/>
      <c r="D47" s="193"/>
    </row>
  </sheetData>
  <mergeCells count="11">
    <mergeCell ref="A39:C39"/>
    <mergeCell ref="B41:C41"/>
    <mergeCell ref="B42:D42"/>
    <mergeCell ref="B44:C44"/>
    <mergeCell ref="A47:D47"/>
    <mergeCell ref="A21:A22"/>
    <mergeCell ref="A29:A30"/>
    <mergeCell ref="A32:A33"/>
    <mergeCell ref="A36:A37"/>
    <mergeCell ref="B36:B37"/>
    <mergeCell ref="A2:C3"/>
  </mergeCells>
  <pageMargins left="0.7" right="0.7" top="0.75" bottom="0.75" header="0.3" footer="0.3"/>
  <pageSetup paperSize="9" scale="88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C000"/>
  </sheetPr>
  <dimension ref="A1:H24"/>
  <sheetViews>
    <sheetView workbookViewId="0">
      <selection activeCell="A1" sqref="A1"/>
    </sheetView>
  </sheetViews>
  <sheetFormatPr defaultColWidth="9" defaultRowHeight="14.4" outlineLevelCol="7"/>
  <cols>
    <col min="1" max="1" width="34.8888888888889" style="1" customWidth="1"/>
    <col min="2" max="2" width="21.8888888888889" style="1" customWidth="1"/>
    <col min="3" max="3" width="21.2222222222222" style="1" customWidth="1"/>
    <col min="4" max="4" width="10.5555555555556" style="1" customWidth="1"/>
    <col min="5" max="16384" width="8.88888888888889" style="1"/>
  </cols>
  <sheetData>
    <row r="1" spans="1:1">
      <c r="A1" s="172" t="s">
        <v>0</v>
      </c>
    </row>
    <row r="2" spans="1:4">
      <c r="A2" s="173" t="s">
        <v>107</v>
      </c>
      <c r="B2" s="174"/>
      <c r="C2" s="174"/>
      <c r="D2" s="174"/>
    </row>
    <row r="3" ht="30.6" customHeight="1" spans="1:4">
      <c r="A3" s="174"/>
      <c r="B3" s="174"/>
      <c r="C3" s="174"/>
      <c r="D3" s="174"/>
    </row>
    <row r="4" ht="26.4" customHeight="1" spans="1:4">
      <c r="A4" s="175" t="s">
        <v>2</v>
      </c>
      <c r="B4" s="176" t="s">
        <v>108</v>
      </c>
      <c r="C4" s="177" t="s">
        <v>109</v>
      </c>
      <c r="D4" s="176" t="s">
        <v>110</v>
      </c>
    </row>
    <row r="5" spans="1:4">
      <c r="A5" s="178" t="s">
        <v>111</v>
      </c>
      <c r="B5" s="179">
        <v>300000</v>
      </c>
      <c r="C5" s="179">
        <v>-4275</v>
      </c>
      <c r="D5" s="179">
        <v>295725</v>
      </c>
    </row>
    <row r="6" spans="1:4">
      <c r="A6" s="180" t="s">
        <v>112</v>
      </c>
      <c r="B6" s="181" t="s">
        <v>62</v>
      </c>
      <c r="C6" s="181" t="s">
        <v>62</v>
      </c>
      <c r="D6" s="179" t="s">
        <v>62</v>
      </c>
    </row>
    <row r="7" ht="18.6" customHeight="1" spans="1:4">
      <c r="A7" s="180" t="s">
        <v>113</v>
      </c>
      <c r="B7" s="181" t="s">
        <v>62</v>
      </c>
      <c r="C7" s="181">
        <v>199716</v>
      </c>
      <c r="D7" s="179">
        <v>199716</v>
      </c>
    </row>
    <row r="8" ht="18.6" customHeight="1" spans="1:4">
      <c r="A8" s="180" t="s">
        <v>114</v>
      </c>
      <c r="B8" s="181"/>
      <c r="C8" s="181">
        <v>-195441</v>
      </c>
      <c r="D8" s="179">
        <v>-195441</v>
      </c>
    </row>
    <row r="9" ht="15.15" spans="1:4">
      <c r="A9" s="182" t="s">
        <v>115</v>
      </c>
      <c r="B9" s="183">
        <v>300000</v>
      </c>
      <c r="C9" s="183">
        <f>C5+C7+C8</f>
        <v>0</v>
      </c>
      <c r="D9" s="183">
        <f>D5+D7+D8</f>
        <v>300000</v>
      </c>
    </row>
    <row r="10" spans="1:4">
      <c r="A10" s="180" t="s">
        <v>112</v>
      </c>
      <c r="B10" s="181" t="s">
        <v>62</v>
      </c>
      <c r="C10" s="181" t="s">
        <v>62</v>
      </c>
      <c r="D10" s="179" t="s">
        <v>62</v>
      </c>
    </row>
    <row r="11" spans="1:4">
      <c r="A11" s="180" t="s">
        <v>116</v>
      </c>
      <c r="B11" s="181" t="s">
        <v>62</v>
      </c>
      <c r="C11" s="181">
        <f>'Отчет о совокуп.доходе '!C19</f>
        <v>112111</v>
      </c>
      <c r="D11" s="179">
        <f>C11</f>
        <v>112111</v>
      </c>
    </row>
    <row r="12" ht="15.15" spans="1:4">
      <c r="A12" s="180" t="s">
        <v>114</v>
      </c>
      <c r="B12" s="181"/>
      <c r="C12" s="181">
        <f>-55555</f>
        <v>-55555</v>
      </c>
      <c r="D12" s="179">
        <v>-55555</v>
      </c>
    </row>
    <row r="13" ht="15.15" spans="1:4">
      <c r="A13" s="182" t="s">
        <v>117</v>
      </c>
      <c r="B13" s="183">
        <v>300000</v>
      </c>
      <c r="C13" s="183">
        <f>C9+C11+C12</f>
        <v>56556</v>
      </c>
      <c r="D13" s="183">
        <f>B13+C13</f>
        <v>356556</v>
      </c>
    </row>
    <row r="14" spans="1:4">
      <c r="A14" s="184"/>
      <c r="B14" s="184"/>
      <c r="C14" s="184"/>
      <c r="D14" s="184"/>
    </row>
    <row r="15" spans="1:4">
      <c r="A15" s="185"/>
      <c r="B15" s="185"/>
      <c r="C15" s="185"/>
      <c r="D15" s="185"/>
    </row>
    <row r="16" spans="1:4">
      <c r="A16" s="184"/>
      <c r="B16" s="184"/>
      <c r="C16" s="184"/>
      <c r="D16" s="184"/>
    </row>
    <row r="17" spans="8:8">
      <c r="H17" s="186"/>
    </row>
    <row r="18" spans="1:4">
      <c r="A18" s="187"/>
      <c r="B18" s="188"/>
      <c r="C18" s="188"/>
      <c r="D18" s="184"/>
    </row>
    <row r="19" spans="1:2">
      <c r="A19" s="189" t="s">
        <v>44</v>
      </c>
      <c r="B19" s="189" t="s">
        <v>64</v>
      </c>
    </row>
    <row r="20" spans="1:2">
      <c r="A20" s="189"/>
      <c r="B20" s="189"/>
    </row>
    <row r="21" customHeight="1" spans="1:4">
      <c r="A21" s="189" t="s">
        <v>46</v>
      </c>
      <c r="B21" s="190" t="s">
        <v>47</v>
      </c>
      <c r="C21" s="190"/>
      <c r="D21" s="191"/>
    </row>
    <row r="22" spans="1:4">
      <c r="A22" s="192"/>
      <c r="B22" s="191"/>
      <c r="C22" s="191"/>
      <c r="D22" s="191"/>
    </row>
    <row r="23" ht="13.8" customHeight="1" spans="1:4">
      <c r="A23" s="180"/>
      <c r="B23" s="191"/>
      <c r="C23" s="191"/>
      <c r="D23" s="191"/>
    </row>
    <row r="24" spans="1:4">
      <c r="A24" s="193" t="s">
        <v>48</v>
      </c>
      <c r="B24" s="193"/>
      <c r="C24" s="193"/>
      <c r="D24" s="193"/>
    </row>
  </sheetData>
  <mergeCells count="6">
    <mergeCell ref="A15:D15"/>
    <mergeCell ref="B18:C18"/>
    <mergeCell ref="B19:D19"/>
    <mergeCell ref="B21:C21"/>
    <mergeCell ref="A24:D24"/>
    <mergeCell ref="A2:D3"/>
  </mergeCells>
  <pageMargins left="0.393055555555556" right="0.156944444444444" top="0.75" bottom="0.75" header="0.3" footer="0.3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0"/>
  </sheetPr>
  <dimension ref="A1:L73"/>
  <sheetViews>
    <sheetView zoomScale="70" zoomScaleNormal="70" topLeftCell="A6" workbookViewId="0">
      <selection activeCell="I12" sqref="I12"/>
    </sheetView>
  </sheetViews>
  <sheetFormatPr defaultColWidth="9" defaultRowHeight="14.4"/>
  <cols>
    <col min="1" max="1" width="14.5555555555556" customWidth="1"/>
    <col min="2" max="2" width="12.6666666666667" customWidth="1"/>
    <col min="3" max="6" width="14.5555555555556" customWidth="1"/>
    <col min="7" max="7" width="16.4444444444444" customWidth="1"/>
    <col min="8" max="8" width="19.1111111111111" customWidth="1"/>
    <col min="9" max="10" width="36.4444444444444" customWidth="1"/>
    <col min="11" max="12" width="17.7777777777778" customWidth="1"/>
    <col min="13" max="13" width="11.8888888888889" customWidth="1"/>
    <col min="14" max="256" width="8" customWidth="1"/>
    <col min="257" max="257" width="14.5555555555556" customWidth="1"/>
    <col min="258" max="258" width="12.6666666666667" customWidth="1"/>
    <col min="259" max="263" width="14.5555555555556" customWidth="1"/>
    <col min="264" max="264" width="1.33333333333333" customWidth="1"/>
    <col min="265" max="265" width="13.2222222222222" customWidth="1"/>
    <col min="266" max="512" width="8" customWidth="1"/>
    <col min="513" max="513" width="14.5555555555556" customWidth="1"/>
    <col min="514" max="514" width="12.6666666666667" customWidth="1"/>
    <col min="515" max="519" width="14.5555555555556" customWidth="1"/>
    <col min="520" max="520" width="1.33333333333333" customWidth="1"/>
    <col min="521" max="521" width="13.2222222222222" customWidth="1"/>
    <col min="522" max="768" width="8" customWidth="1"/>
    <col min="769" max="769" width="14.5555555555556" customWidth="1"/>
    <col min="770" max="770" width="12.6666666666667" customWidth="1"/>
    <col min="771" max="775" width="14.5555555555556" customWidth="1"/>
    <col min="776" max="776" width="1.33333333333333" customWidth="1"/>
    <col min="777" max="777" width="13.2222222222222" customWidth="1"/>
    <col min="778" max="1024" width="8" customWidth="1"/>
    <col min="1025" max="1025" width="14.5555555555556" customWidth="1"/>
    <col min="1026" max="1026" width="12.6666666666667" customWidth="1"/>
    <col min="1027" max="1031" width="14.5555555555556" customWidth="1"/>
    <col min="1032" max="1032" width="1.33333333333333" customWidth="1"/>
    <col min="1033" max="1033" width="13.2222222222222" customWidth="1"/>
    <col min="1034" max="1280" width="8" customWidth="1"/>
    <col min="1281" max="1281" width="14.5555555555556" customWidth="1"/>
    <col min="1282" max="1282" width="12.6666666666667" customWidth="1"/>
    <col min="1283" max="1287" width="14.5555555555556" customWidth="1"/>
    <col min="1288" max="1288" width="1.33333333333333" customWidth="1"/>
    <col min="1289" max="1289" width="13.2222222222222" customWidth="1"/>
    <col min="1290" max="1536" width="8" customWidth="1"/>
    <col min="1537" max="1537" width="14.5555555555556" customWidth="1"/>
    <col min="1538" max="1538" width="12.6666666666667" customWidth="1"/>
    <col min="1539" max="1543" width="14.5555555555556" customWidth="1"/>
    <col min="1544" max="1544" width="1.33333333333333" customWidth="1"/>
    <col min="1545" max="1545" width="13.2222222222222" customWidth="1"/>
    <col min="1546" max="1792" width="8" customWidth="1"/>
    <col min="1793" max="1793" width="14.5555555555556" customWidth="1"/>
    <col min="1794" max="1794" width="12.6666666666667" customWidth="1"/>
    <col min="1795" max="1799" width="14.5555555555556" customWidth="1"/>
    <col min="1800" max="1800" width="1.33333333333333" customWidth="1"/>
    <col min="1801" max="1801" width="13.2222222222222" customWidth="1"/>
    <col min="1802" max="2048" width="8" customWidth="1"/>
    <col min="2049" max="2049" width="14.5555555555556" customWidth="1"/>
    <col min="2050" max="2050" width="12.6666666666667" customWidth="1"/>
    <col min="2051" max="2055" width="14.5555555555556" customWidth="1"/>
    <col min="2056" max="2056" width="1.33333333333333" customWidth="1"/>
    <col min="2057" max="2057" width="13.2222222222222" customWidth="1"/>
    <col min="2058" max="2304" width="8" customWidth="1"/>
    <col min="2305" max="2305" width="14.5555555555556" customWidth="1"/>
    <col min="2306" max="2306" width="12.6666666666667" customWidth="1"/>
    <col min="2307" max="2311" width="14.5555555555556" customWidth="1"/>
    <col min="2312" max="2312" width="1.33333333333333" customWidth="1"/>
    <col min="2313" max="2313" width="13.2222222222222" customWidth="1"/>
    <col min="2314" max="2560" width="8" customWidth="1"/>
    <col min="2561" max="2561" width="14.5555555555556" customWidth="1"/>
    <col min="2562" max="2562" width="12.6666666666667" customWidth="1"/>
    <col min="2563" max="2567" width="14.5555555555556" customWidth="1"/>
    <col min="2568" max="2568" width="1.33333333333333" customWidth="1"/>
    <col min="2569" max="2569" width="13.2222222222222" customWidth="1"/>
    <col min="2570" max="2816" width="8" customWidth="1"/>
    <col min="2817" max="2817" width="14.5555555555556" customWidth="1"/>
    <col min="2818" max="2818" width="12.6666666666667" customWidth="1"/>
    <col min="2819" max="2823" width="14.5555555555556" customWidth="1"/>
    <col min="2824" max="2824" width="1.33333333333333" customWidth="1"/>
    <col min="2825" max="2825" width="13.2222222222222" customWidth="1"/>
    <col min="2826" max="3072" width="8" customWidth="1"/>
    <col min="3073" max="3073" width="14.5555555555556" customWidth="1"/>
    <col min="3074" max="3074" width="12.6666666666667" customWidth="1"/>
    <col min="3075" max="3079" width="14.5555555555556" customWidth="1"/>
    <col min="3080" max="3080" width="1.33333333333333" customWidth="1"/>
    <col min="3081" max="3081" width="13.2222222222222" customWidth="1"/>
    <col min="3082" max="3328" width="8" customWidth="1"/>
    <col min="3329" max="3329" width="14.5555555555556" customWidth="1"/>
    <col min="3330" max="3330" width="12.6666666666667" customWidth="1"/>
    <col min="3331" max="3335" width="14.5555555555556" customWidth="1"/>
    <col min="3336" max="3336" width="1.33333333333333" customWidth="1"/>
    <col min="3337" max="3337" width="13.2222222222222" customWidth="1"/>
    <col min="3338" max="3584" width="8" customWidth="1"/>
    <col min="3585" max="3585" width="14.5555555555556" customWidth="1"/>
    <col min="3586" max="3586" width="12.6666666666667" customWidth="1"/>
    <col min="3587" max="3591" width="14.5555555555556" customWidth="1"/>
    <col min="3592" max="3592" width="1.33333333333333" customWidth="1"/>
    <col min="3593" max="3593" width="13.2222222222222" customWidth="1"/>
    <col min="3594" max="3840" width="8" customWidth="1"/>
    <col min="3841" max="3841" width="14.5555555555556" customWidth="1"/>
    <col min="3842" max="3842" width="12.6666666666667" customWidth="1"/>
    <col min="3843" max="3847" width="14.5555555555556" customWidth="1"/>
    <col min="3848" max="3848" width="1.33333333333333" customWidth="1"/>
    <col min="3849" max="3849" width="13.2222222222222" customWidth="1"/>
    <col min="3850" max="4096" width="8" customWidth="1"/>
    <col min="4097" max="4097" width="14.5555555555556" customWidth="1"/>
    <col min="4098" max="4098" width="12.6666666666667" customWidth="1"/>
    <col min="4099" max="4103" width="14.5555555555556" customWidth="1"/>
    <col min="4104" max="4104" width="1.33333333333333" customWidth="1"/>
    <col min="4105" max="4105" width="13.2222222222222" customWidth="1"/>
    <col min="4106" max="4352" width="8" customWidth="1"/>
    <col min="4353" max="4353" width="14.5555555555556" customWidth="1"/>
    <col min="4354" max="4354" width="12.6666666666667" customWidth="1"/>
    <col min="4355" max="4359" width="14.5555555555556" customWidth="1"/>
    <col min="4360" max="4360" width="1.33333333333333" customWidth="1"/>
    <col min="4361" max="4361" width="13.2222222222222" customWidth="1"/>
    <col min="4362" max="4608" width="8" customWidth="1"/>
    <col min="4609" max="4609" width="14.5555555555556" customWidth="1"/>
    <col min="4610" max="4610" width="12.6666666666667" customWidth="1"/>
    <col min="4611" max="4615" width="14.5555555555556" customWidth="1"/>
    <col min="4616" max="4616" width="1.33333333333333" customWidth="1"/>
    <col min="4617" max="4617" width="13.2222222222222" customWidth="1"/>
    <col min="4618" max="4864" width="8" customWidth="1"/>
    <col min="4865" max="4865" width="14.5555555555556" customWidth="1"/>
    <col min="4866" max="4866" width="12.6666666666667" customWidth="1"/>
    <col min="4867" max="4871" width="14.5555555555556" customWidth="1"/>
    <col min="4872" max="4872" width="1.33333333333333" customWidth="1"/>
    <col min="4873" max="4873" width="13.2222222222222" customWidth="1"/>
    <col min="4874" max="5120" width="8" customWidth="1"/>
    <col min="5121" max="5121" width="14.5555555555556" customWidth="1"/>
    <col min="5122" max="5122" width="12.6666666666667" customWidth="1"/>
    <col min="5123" max="5127" width="14.5555555555556" customWidth="1"/>
    <col min="5128" max="5128" width="1.33333333333333" customWidth="1"/>
    <col min="5129" max="5129" width="13.2222222222222" customWidth="1"/>
    <col min="5130" max="5376" width="8" customWidth="1"/>
    <col min="5377" max="5377" width="14.5555555555556" customWidth="1"/>
    <col min="5378" max="5378" width="12.6666666666667" customWidth="1"/>
    <col min="5379" max="5383" width="14.5555555555556" customWidth="1"/>
    <col min="5384" max="5384" width="1.33333333333333" customWidth="1"/>
    <col min="5385" max="5385" width="13.2222222222222" customWidth="1"/>
    <col min="5386" max="5632" width="8" customWidth="1"/>
    <col min="5633" max="5633" width="14.5555555555556" customWidth="1"/>
    <col min="5634" max="5634" width="12.6666666666667" customWidth="1"/>
    <col min="5635" max="5639" width="14.5555555555556" customWidth="1"/>
    <col min="5640" max="5640" width="1.33333333333333" customWidth="1"/>
    <col min="5641" max="5641" width="13.2222222222222" customWidth="1"/>
    <col min="5642" max="5888" width="8" customWidth="1"/>
    <col min="5889" max="5889" width="14.5555555555556" customWidth="1"/>
    <col min="5890" max="5890" width="12.6666666666667" customWidth="1"/>
    <col min="5891" max="5895" width="14.5555555555556" customWidth="1"/>
    <col min="5896" max="5896" width="1.33333333333333" customWidth="1"/>
    <col min="5897" max="5897" width="13.2222222222222" customWidth="1"/>
    <col min="5898" max="6144" width="8" customWidth="1"/>
    <col min="6145" max="6145" width="14.5555555555556" customWidth="1"/>
    <col min="6146" max="6146" width="12.6666666666667" customWidth="1"/>
    <col min="6147" max="6151" width="14.5555555555556" customWidth="1"/>
    <col min="6152" max="6152" width="1.33333333333333" customWidth="1"/>
    <col min="6153" max="6153" width="13.2222222222222" customWidth="1"/>
    <col min="6154" max="6400" width="8" customWidth="1"/>
    <col min="6401" max="6401" width="14.5555555555556" customWidth="1"/>
    <col min="6402" max="6402" width="12.6666666666667" customWidth="1"/>
    <col min="6403" max="6407" width="14.5555555555556" customWidth="1"/>
    <col min="6408" max="6408" width="1.33333333333333" customWidth="1"/>
    <col min="6409" max="6409" width="13.2222222222222" customWidth="1"/>
    <col min="6410" max="6656" width="8" customWidth="1"/>
    <col min="6657" max="6657" width="14.5555555555556" customWidth="1"/>
    <col min="6658" max="6658" width="12.6666666666667" customWidth="1"/>
    <col min="6659" max="6663" width="14.5555555555556" customWidth="1"/>
    <col min="6664" max="6664" width="1.33333333333333" customWidth="1"/>
    <col min="6665" max="6665" width="13.2222222222222" customWidth="1"/>
    <col min="6666" max="6912" width="8" customWidth="1"/>
    <col min="6913" max="6913" width="14.5555555555556" customWidth="1"/>
    <col min="6914" max="6914" width="12.6666666666667" customWidth="1"/>
    <col min="6915" max="6919" width="14.5555555555556" customWidth="1"/>
    <col min="6920" max="6920" width="1.33333333333333" customWidth="1"/>
    <col min="6921" max="6921" width="13.2222222222222" customWidth="1"/>
    <col min="6922" max="7168" width="8" customWidth="1"/>
    <col min="7169" max="7169" width="14.5555555555556" customWidth="1"/>
    <col min="7170" max="7170" width="12.6666666666667" customWidth="1"/>
    <col min="7171" max="7175" width="14.5555555555556" customWidth="1"/>
    <col min="7176" max="7176" width="1.33333333333333" customWidth="1"/>
    <col min="7177" max="7177" width="13.2222222222222" customWidth="1"/>
    <col min="7178" max="7424" width="8" customWidth="1"/>
    <col min="7425" max="7425" width="14.5555555555556" customWidth="1"/>
    <col min="7426" max="7426" width="12.6666666666667" customWidth="1"/>
    <col min="7427" max="7431" width="14.5555555555556" customWidth="1"/>
    <col min="7432" max="7432" width="1.33333333333333" customWidth="1"/>
    <col min="7433" max="7433" width="13.2222222222222" customWidth="1"/>
    <col min="7434" max="7680" width="8" customWidth="1"/>
    <col min="7681" max="7681" width="14.5555555555556" customWidth="1"/>
    <col min="7682" max="7682" width="12.6666666666667" customWidth="1"/>
    <col min="7683" max="7687" width="14.5555555555556" customWidth="1"/>
    <col min="7688" max="7688" width="1.33333333333333" customWidth="1"/>
    <col min="7689" max="7689" width="13.2222222222222" customWidth="1"/>
    <col min="7690" max="7936" width="8" customWidth="1"/>
    <col min="7937" max="7937" width="14.5555555555556" customWidth="1"/>
    <col min="7938" max="7938" width="12.6666666666667" customWidth="1"/>
    <col min="7939" max="7943" width="14.5555555555556" customWidth="1"/>
    <col min="7944" max="7944" width="1.33333333333333" customWidth="1"/>
    <col min="7945" max="7945" width="13.2222222222222" customWidth="1"/>
    <col min="7946" max="8192" width="8" customWidth="1"/>
    <col min="8193" max="8193" width="14.5555555555556" customWidth="1"/>
    <col min="8194" max="8194" width="12.6666666666667" customWidth="1"/>
    <col min="8195" max="8199" width="14.5555555555556" customWidth="1"/>
    <col min="8200" max="8200" width="1.33333333333333" customWidth="1"/>
    <col min="8201" max="8201" width="13.2222222222222" customWidth="1"/>
    <col min="8202" max="8448" width="8" customWidth="1"/>
    <col min="8449" max="8449" width="14.5555555555556" customWidth="1"/>
    <col min="8450" max="8450" width="12.6666666666667" customWidth="1"/>
    <col min="8451" max="8455" width="14.5555555555556" customWidth="1"/>
    <col min="8456" max="8456" width="1.33333333333333" customWidth="1"/>
    <col min="8457" max="8457" width="13.2222222222222" customWidth="1"/>
    <col min="8458" max="8704" width="8" customWidth="1"/>
    <col min="8705" max="8705" width="14.5555555555556" customWidth="1"/>
    <col min="8706" max="8706" width="12.6666666666667" customWidth="1"/>
    <col min="8707" max="8711" width="14.5555555555556" customWidth="1"/>
    <col min="8712" max="8712" width="1.33333333333333" customWidth="1"/>
    <col min="8713" max="8713" width="13.2222222222222" customWidth="1"/>
    <col min="8714" max="8960" width="8" customWidth="1"/>
    <col min="8961" max="8961" width="14.5555555555556" customWidth="1"/>
    <col min="8962" max="8962" width="12.6666666666667" customWidth="1"/>
    <col min="8963" max="8967" width="14.5555555555556" customWidth="1"/>
    <col min="8968" max="8968" width="1.33333333333333" customWidth="1"/>
    <col min="8969" max="8969" width="13.2222222222222" customWidth="1"/>
    <col min="8970" max="9216" width="8" customWidth="1"/>
    <col min="9217" max="9217" width="14.5555555555556" customWidth="1"/>
    <col min="9218" max="9218" width="12.6666666666667" customWidth="1"/>
    <col min="9219" max="9223" width="14.5555555555556" customWidth="1"/>
    <col min="9224" max="9224" width="1.33333333333333" customWidth="1"/>
    <col min="9225" max="9225" width="13.2222222222222" customWidth="1"/>
    <col min="9226" max="9472" width="8" customWidth="1"/>
    <col min="9473" max="9473" width="14.5555555555556" customWidth="1"/>
    <col min="9474" max="9474" width="12.6666666666667" customWidth="1"/>
    <col min="9475" max="9479" width="14.5555555555556" customWidth="1"/>
    <col min="9480" max="9480" width="1.33333333333333" customWidth="1"/>
    <col min="9481" max="9481" width="13.2222222222222" customWidth="1"/>
    <col min="9482" max="9728" width="8" customWidth="1"/>
    <col min="9729" max="9729" width="14.5555555555556" customWidth="1"/>
    <col min="9730" max="9730" width="12.6666666666667" customWidth="1"/>
    <col min="9731" max="9735" width="14.5555555555556" customWidth="1"/>
    <col min="9736" max="9736" width="1.33333333333333" customWidth="1"/>
    <col min="9737" max="9737" width="13.2222222222222" customWidth="1"/>
    <col min="9738" max="9984" width="8" customWidth="1"/>
    <col min="9985" max="9985" width="14.5555555555556" customWidth="1"/>
    <col min="9986" max="9986" width="12.6666666666667" customWidth="1"/>
    <col min="9987" max="9991" width="14.5555555555556" customWidth="1"/>
    <col min="9992" max="9992" width="1.33333333333333" customWidth="1"/>
    <col min="9993" max="9993" width="13.2222222222222" customWidth="1"/>
    <col min="9994" max="10240" width="8" customWidth="1"/>
    <col min="10241" max="10241" width="14.5555555555556" customWidth="1"/>
    <col min="10242" max="10242" width="12.6666666666667" customWidth="1"/>
    <col min="10243" max="10247" width="14.5555555555556" customWidth="1"/>
    <col min="10248" max="10248" width="1.33333333333333" customWidth="1"/>
    <col min="10249" max="10249" width="13.2222222222222" customWidth="1"/>
    <col min="10250" max="10496" width="8" customWidth="1"/>
    <col min="10497" max="10497" width="14.5555555555556" customWidth="1"/>
    <col min="10498" max="10498" width="12.6666666666667" customWidth="1"/>
    <col min="10499" max="10503" width="14.5555555555556" customWidth="1"/>
    <col min="10504" max="10504" width="1.33333333333333" customWidth="1"/>
    <col min="10505" max="10505" width="13.2222222222222" customWidth="1"/>
    <col min="10506" max="10752" width="8" customWidth="1"/>
    <col min="10753" max="10753" width="14.5555555555556" customWidth="1"/>
    <col min="10754" max="10754" width="12.6666666666667" customWidth="1"/>
    <col min="10755" max="10759" width="14.5555555555556" customWidth="1"/>
    <col min="10760" max="10760" width="1.33333333333333" customWidth="1"/>
    <col min="10761" max="10761" width="13.2222222222222" customWidth="1"/>
    <col min="10762" max="11008" width="8" customWidth="1"/>
    <col min="11009" max="11009" width="14.5555555555556" customWidth="1"/>
    <col min="11010" max="11010" width="12.6666666666667" customWidth="1"/>
    <col min="11011" max="11015" width="14.5555555555556" customWidth="1"/>
    <col min="11016" max="11016" width="1.33333333333333" customWidth="1"/>
    <col min="11017" max="11017" width="13.2222222222222" customWidth="1"/>
    <col min="11018" max="11264" width="8" customWidth="1"/>
    <col min="11265" max="11265" width="14.5555555555556" customWidth="1"/>
    <col min="11266" max="11266" width="12.6666666666667" customWidth="1"/>
    <col min="11267" max="11271" width="14.5555555555556" customWidth="1"/>
    <col min="11272" max="11272" width="1.33333333333333" customWidth="1"/>
    <col min="11273" max="11273" width="13.2222222222222" customWidth="1"/>
    <col min="11274" max="11520" width="8" customWidth="1"/>
    <col min="11521" max="11521" width="14.5555555555556" customWidth="1"/>
    <col min="11522" max="11522" width="12.6666666666667" customWidth="1"/>
    <col min="11523" max="11527" width="14.5555555555556" customWidth="1"/>
    <col min="11528" max="11528" width="1.33333333333333" customWidth="1"/>
    <col min="11529" max="11529" width="13.2222222222222" customWidth="1"/>
    <col min="11530" max="11776" width="8" customWidth="1"/>
    <col min="11777" max="11777" width="14.5555555555556" customWidth="1"/>
    <col min="11778" max="11778" width="12.6666666666667" customWidth="1"/>
    <col min="11779" max="11783" width="14.5555555555556" customWidth="1"/>
    <col min="11784" max="11784" width="1.33333333333333" customWidth="1"/>
    <col min="11785" max="11785" width="13.2222222222222" customWidth="1"/>
    <col min="11786" max="12032" width="8" customWidth="1"/>
    <col min="12033" max="12033" width="14.5555555555556" customWidth="1"/>
    <col min="12034" max="12034" width="12.6666666666667" customWidth="1"/>
    <col min="12035" max="12039" width="14.5555555555556" customWidth="1"/>
    <col min="12040" max="12040" width="1.33333333333333" customWidth="1"/>
    <col min="12041" max="12041" width="13.2222222222222" customWidth="1"/>
    <col min="12042" max="12288" width="8" customWidth="1"/>
    <col min="12289" max="12289" width="14.5555555555556" customWidth="1"/>
    <col min="12290" max="12290" width="12.6666666666667" customWidth="1"/>
    <col min="12291" max="12295" width="14.5555555555556" customWidth="1"/>
    <col min="12296" max="12296" width="1.33333333333333" customWidth="1"/>
    <col min="12297" max="12297" width="13.2222222222222" customWidth="1"/>
    <col min="12298" max="12544" width="8" customWidth="1"/>
    <col min="12545" max="12545" width="14.5555555555556" customWidth="1"/>
    <col min="12546" max="12546" width="12.6666666666667" customWidth="1"/>
    <col min="12547" max="12551" width="14.5555555555556" customWidth="1"/>
    <col min="12552" max="12552" width="1.33333333333333" customWidth="1"/>
    <col min="12553" max="12553" width="13.2222222222222" customWidth="1"/>
    <col min="12554" max="12800" width="8" customWidth="1"/>
    <col min="12801" max="12801" width="14.5555555555556" customWidth="1"/>
    <col min="12802" max="12802" width="12.6666666666667" customWidth="1"/>
    <col min="12803" max="12807" width="14.5555555555556" customWidth="1"/>
    <col min="12808" max="12808" width="1.33333333333333" customWidth="1"/>
    <col min="12809" max="12809" width="13.2222222222222" customWidth="1"/>
    <col min="12810" max="13056" width="8" customWidth="1"/>
    <col min="13057" max="13057" width="14.5555555555556" customWidth="1"/>
    <col min="13058" max="13058" width="12.6666666666667" customWidth="1"/>
    <col min="13059" max="13063" width="14.5555555555556" customWidth="1"/>
    <col min="13064" max="13064" width="1.33333333333333" customWidth="1"/>
    <col min="13065" max="13065" width="13.2222222222222" customWidth="1"/>
    <col min="13066" max="13312" width="8" customWidth="1"/>
    <col min="13313" max="13313" width="14.5555555555556" customWidth="1"/>
    <col min="13314" max="13314" width="12.6666666666667" customWidth="1"/>
    <col min="13315" max="13319" width="14.5555555555556" customWidth="1"/>
    <col min="13320" max="13320" width="1.33333333333333" customWidth="1"/>
    <col min="13321" max="13321" width="13.2222222222222" customWidth="1"/>
    <col min="13322" max="13568" width="8" customWidth="1"/>
    <col min="13569" max="13569" width="14.5555555555556" customWidth="1"/>
    <col min="13570" max="13570" width="12.6666666666667" customWidth="1"/>
    <col min="13571" max="13575" width="14.5555555555556" customWidth="1"/>
    <col min="13576" max="13576" width="1.33333333333333" customWidth="1"/>
    <col min="13577" max="13577" width="13.2222222222222" customWidth="1"/>
    <col min="13578" max="13824" width="8" customWidth="1"/>
    <col min="13825" max="13825" width="14.5555555555556" customWidth="1"/>
    <col min="13826" max="13826" width="12.6666666666667" customWidth="1"/>
    <col min="13827" max="13831" width="14.5555555555556" customWidth="1"/>
    <col min="13832" max="13832" width="1.33333333333333" customWidth="1"/>
    <col min="13833" max="13833" width="13.2222222222222" customWidth="1"/>
    <col min="13834" max="14080" width="8" customWidth="1"/>
    <col min="14081" max="14081" width="14.5555555555556" customWidth="1"/>
    <col min="14082" max="14082" width="12.6666666666667" customWidth="1"/>
    <col min="14083" max="14087" width="14.5555555555556" customWidth="1"/>
    <col min="14088" max="14088" width="1.33333333333333" customWidth="1"/>
    <col min="14089" max="14089" width="13.2222222222222" customWidth="1"/>
    <col min="14090" max="14336" width="8" customWidth="1"/>
    <col min="14337" max="14337" width="14.5555555555556" customWidth="1"/>
    <col min="14338" max="14338" width="12.6666666666667" customWidth="1"/>
    <col min="14339" max="14343" width="14.5555555555556" customWidth="1"/>
    <col min="14344" max="14344" width="1.33333333333333" customWidth="1"/>
    <col min="14345" max="14345" width="13.2222222222222" customWidth="1"/>
    <col min="14346" max="14592" width="8" customWidth="1"/>
    <col min="14593" max="14593" width="14.5555555555556" customWidth="1"/>
    <col min="14594" max="14594" width="12.6666666666667" customWidth="1"/>
    <col min="14595" max="14599" width="14.5555555555556" customWidth="1"/>
    <col min="14600" max="14600" width="1.33333333333333" customWidth="1"/>
    <col min="14601" max="14601" width="13.2222222222222" customWidth="1"/>
    <col min="14602" max="14848" width="8" customWidth="1"/>
    <col min="14849" max="14849" width="14.5555555555556" customWidth="1"/>
    <col min="14850" max="14850" width="12.6666666666667" customWidth="1"/>
    <col min="14851" max="14855" width="14.5555555555556" customWidth="1"/>
    <col min="14856" max="14856" width="1.33333333333333" customWidth="1"/>
    <col min="14857" max="14857" width="13.2222222222222" customWidth="1"/>
    <col min="14858" max="15104" width="8" customWidth="1"/>
    <col min="15105" max="15105" width="14.5555555555556" customWidth="1"/>
    <col min="15106" max="15106" width="12.6666666666667" customWidth="1"/>
    <col min="15107" max="15111" width="14.5555555555556" customWidth="1"/>
    <col min="15112" max="15112" width="1.33333333333333" customWidth="1"/>
    <col min="15113" max="15113" width="13.2222222222222" customWidth="1"/>
    <col min="15114" max="15360" width="8" customWidth="1"/>
    <col min="15361" max="15361" width="14.5555555555556" customWidth="1"/>
    <col min="15362" max="15362" width="12.6666666666667" customWidth="1"/>
    <col min="15363" max="15367" width="14.5555555555556" customWidth="1"/>
    <col min="15368" max="15368" width="1.33333333333333" customWidth="1"/>
    <col min="15369" max="15369" width="13.2222222222222" customWidth="1"/>
    <col min="15370" max="15616" width="8" customWidth="1"/>
    <col min="15617" max="15617" width="14.5555555555556" customWidth="1"/>
    <col min="15618" max="15618" width="12.6666666666667" customWidth="1"/>
    <col min="15619" max="15623" width="14.5555555555556" customWidth="1"/>
    <col min="15624" max="15624" width="1.33333333333333" customWidth="1"/>
    <col min="15625" max="15625" width="13.2222222222222" customWidth="1"/>
    <col min="15626" max="15872" width="8" customWidth="1"/>
    <col min="15873" max="15873" width="14.5555555555556" customWidth="1"/>
    <col min="15874" max="15874" width="12.6666666666667" customWidth="1"/>
    <col min="15875" max="15879" width="14.5555555555556" customWidth="1"/>
    <col min="15880" max="15880" width="1.33333333333333" customWidth="1"/>
    <col min="15881" max="15881" width="13.2222222222222" customWidth="1"/>
    <col min="15882" max="16128" width="8" customWidth="1"/>
    <col min="16129" max="16129" width="14.5555555555556" customWidth="1"/>
    <col min="16130" max="16130" width="12.6666666666667" customWidth="1"/>
    <col min="16131" max="16135" width="14.5555555555556" customWidth="1"/>
    <col min="16136" max="16136" width="1.33333333333333" customWidth="1"/>
    <col min="16137" max="16137" width="13.2222222222222" customWidth="1"/>
    <col min="16138" max="16384" width="8" customWidth="1"/>
  </cols>
  <sheetData>
    <row r="1" ht="12.75" customHeight="1" spans="1:8">
      <c r="A1" s="54" t="s">
        <v>118</v>
      </c>
      <c r="B1" s="54"/>
      <c r="C1" s="54"/>
      <c r="D1" s="54"/>
      <c r="E1" s="54"/>
      <c r="F1" s="54"/>
      <c r="G1" s="54"/>
      <c r="H1" s="54"/>
    </row>
    <row r="2" ht="15.75" customHeight="1" spans="1:8">
      <c r="A2" s="55" t="s">
        <v>119</v>
      </c>
      <c r="B2" s="55"/>
      <c r="C2" s="55"/>
      <c r="D2" s="55"/>
      <c r="E2" s="55"/>
      <c r="F2" s="55"/>
      <c r="G2" s="55"/>
      <c r="H2" s="55"/>
    </row>
    <row r="3" ht="1.95" customHeight="1"/>
    <row r="4" ht="15" customHeight="1" spans="1:8">
      <c r="A4" s="56" t="s">
        <v>120</v>
      </c>
      <c r="B4" s="56" t="s">
        <v>121</v>
      </c>
      <c r="C4" s="56"/>
      <c r="D4" s="56"/>
      <c r="E4" s="56"/>
      <c r="F4" s="56"/>
      <c r="G4" s="56"/>
      <c r="H4" s="56"/>
    </row>
    <row r="5" ht="1.95" customHeight="1"/>
    <row r="6" ht="12" customHeight="1" spans="1:9">
      <c r="A6" s="96" t="s">
        <v>122</v>
      </c>
      <c r="B6" s="97"/>
      <c r="C6" s="98" t="s">
        <v>123</v>
      </c>
      <c r="D6" s="99"/>
      <c r="E6" s="98" t="s">
        <v>124</v>
      </c>
      <c r="F6" s="99"/>
      <c r="G6" s="100" t="s">
        <v>125</v>
      </c>
      <c r="H6" s="100"/>
      <c r="I6" s="100"/>
    </row>
    <row r="7" ht="12" customHeight="1" spans="1:9">
      <c r="A7" s="101"/>
      <c r="B7" s="102"/>
      <c r="C7" s="100" t="s">
        <v>126</v>
      </c>
      <c r="D7" s="100" t="s">
        <v>127</v>
      </c>
      <c r="E7" s="100" t="s">
        <v>126</v>
      </c>
      <c r="F7" s="100" t="s">
        <v>127</v>
      </c>
      <c r="G7" s="100" t="s">
        <v>126</v>
      </c>
      <c r="H7" s="100" t="s">
        <v>127</v>
      </c>
      <c r="I7" s="100"/>
    </row>
    <row r="8" ht="23.25" customHeight="1" spans="1:10">
      <c r="A8" s="103" t="s">
        <v>128</v>
      </c>
      <c r="B8" s="104"/>
      <c r="C8" s="105">
        <v>297029.93</v>
      </c>
      <c r="D8" s="106"/>
      <c r="E8" s="105">
        <v>3754358399.5</v>
      </c>
      <c r="F8" s="105">
        <v>3754165001.73</v>
      </c>
      <c r="G8" s="105">
        <v>490427.7</v>
      </c>
      <c r="H8" s="105"/>
      <c r="I8" s="70"/>
      <c r="J8" s="70"/>
    </row>
    <row r="9" ht="23.25" customHeight="1" spans="1:10">
      <c r="A9" s="107" t="s">
        <v>129</v>
      </c>
      <c r="B9" s="108"/>
      <c r="C9" s="69">
        <v>267017772.3</v>
      </c>
      <c r="D9" s="68"/>
      <c r="E9" s="69">
        <v>1226885992.8</v>
      </c>
      <c r="F9" s="69">
        <v>1466176121.06</v>
      </c>
      <c r="G9" s="69">
        <v>27727644.04</v>
      </c>
      <c r="H9" s="69"/>
      <c r="I9" s="70"/>
      <c r="J9" s="70"/>
    </row>
    <row r="10" ht="12" customHeight="1" spans="1:10">
      <c r="A10" s="107" t="s">
        <v>130</v>
      </c>
      <c r="B10" s="108"/>
      <c r="C10" s="69">
        <v>3102232.22</v>
      </c>
      <c r="D10" s="68"/>
      <c r="E10" s="69">
        <v>5485034131.81</v>
      </c>
      <c r="F10" s="69">
        <v>5485616881.09</v>
      </c>
      <c r="G10" s="69">
        <v>2519482.94</v>
      </c>
      <c r="H10" s="69"/>
      <c r="I10" s="70"/>
      <c r="J10" s="70"/>
    </row>
    <row r="11" ht="34.5" customHeight="1" spans="1:9">
      <c r="A11" s="109" t="s">
        <v>131</v>
      </c>
      <c r="B11" s="110"/>
      <c r="C11" s="111"/>
      <c r="D11" s="112">
        <v>3616000</v>
      </c>
      <c r="E11" s="111"/>
      <c r="F11" s="111"/>
      <c r="G11" s="111"/>
      <c r="H11" s="113">
        <v>397000</v>
      </c>
      <c r="I11" s="70"/>
    </row>
    <row r="12" ht="34.5" customHeight="1" spans="1:10">
      <c r="A12" s="114" t="s">
        <v>132</v>
      </c>
      <c r="B12" s="115"/>
      <c r="C12" s="116">
        <v>2479777768.46</v>
      </c>
      <c r="D12" s="117"/>
      <c r="E12" s="116">
        <v>233333324</v>
      </c>
      <c r="F12" s="116">
        <v>649777777.78</v>
      </c>
      <c r="G12" s="116">
        <v>2063333314.68</v>
      </c>
      <c r="H12" s="116"/>
      <c r="I12" s="70">
        <f>G12+G14-H13</f>
        <v>2144079921.9</v>
      </c>
      <c r="J12" s="70">
        <f>I12/1000</f>
        <v>2144079.9219</v>
      </c>
    </row>
    <row r="13" ht="45.75" customHeight="1" spans="1:10">
      <c r="A13" s="114" t="s">
        <v>133</v>
      </c>
      <c r="B13" s="115"/>
      <c r="C13" s="117"/>
      <c r="D13" s="116">
        <v>1248569.22</v>
      </c>
      <c r="E13" s="116">
        <v>509332.99</v>
      </c>
      <c r="F13" s="117"/>
      <c r="G13" s="117"/>
      <c r="H13" s="117">
        <v>739236.23</v>
      </c>
      <c r="I13" s="70"/>
      <c r="J13" s="70"/>
    </row>
    <row r="14" ht="45.75" customHeight="1" spans="1:10">
      <c r="A14" s="114" t="s">
        <v>134</v>
      </c>
      <c r="B14" s="115"/>
      <c r="C14" s="116">
        <v>69868867.75</v>
      </c>
      <c r="D14" s="117"/>
      <c r="E14" s="116">
        <v>55966410.46</v>
      </c>
      <c r="F14" s="116">
        <v>44349434.76</v>
      </c>
      <c r="G14" s="116">
        <v>81485843.45</v>
      </c>
      <c r="H14" s="116"/>
      <c r="I14" s="70"/>
      <c r="J14" s="70"/>
    </row>
    <row r="15" ht="34.5" customHeight="1" spans="1:10">
      <c r="A15" s="107" t="s">
        <v>135</v>
      </c>
      <c r="B15" s="108"/>
      <c r="C15" s="69">
        <v>1704324.54</v>
      </c>
      <c r="D15" s="68"/>
      <c r="E15" s="69">
        <v>932096.01</v>
      </c>
      <c r="F15" s="69">
        <v>2044037.67</v>
      </c>
      <c r="G15" s="69">
        <v>592382.88</v>
      </c>
      <c r="H15" s="69"/>
      <c r="I15" s="70"/>
      <c r="J15" s="70"/>
    </row>
    <row r="16" ht="34.5" customHeight="1" spans="1:10">
      <c r="A16" s="118" t="s">
        <v>136</v>
      </c>
      <c r="B16" s="119"/>
      <c r="C16" s="120">
        <v>3452563.52</v>
      </c>
      <c r="D16" s="121"/>
      <c r="E16" s="120">
        <v>26864601.99</v>
      </c>
      <c r="F16" s="120">
        <v>24907440.52</v>
      </c>
      <c r="G16" s="120">
        <v>5409724.99</v>
      </c>
      <c r="H16" s="120"/>
      <c r="I16" s="70"/>
      <c r="J16" s="70"/>
    </row>
    <row r="17" ht="23.25" customHeight="1" spans="1:10">
      <c r="A17" s="122" t="s">
        <v>137</v>
      </c>
      <c r="B17" s="123"/>
      <c r="C17" s="124">
        <v>295641.04</v>
      </c>
      <c r="D17" s="125"/>
      <c r="E17" s="124">
        <v>407568</v>
      </c>
      <c r="F17" s="124">
        <v>469668</v>
      </c>
      <c r="G17" s="124">
        <v>233541.04</v>
      </c>
      <c r="H17" s="124"/>
      <c r="I17" s="70"/>
      <c r="J17" s="70"/>
    </row>
    <row r="18" ht="23.25" customHeight="1" spans="1:12">
      <c r="A18" s="118" t="s">
        <v>138</v>
      </c>
      <c r="B18" s="119"/>
      <c r="C18" s="120">
        <v>2085876990.21</v>
      </c>
      <c r="D18" s="121"/>
      <c r="E18" s="120">
        <v>5562168130.87</v>
      </c>
      <c r="F18" s="120">
        <v>5108156759.86</v>
      </c>
      <c r="G18" s="120">
        <f>2539888361.22-J18</f>
        <v>2240881430.31</v>
      </c>
      <c r="H18" s="120"/>
      <c r="I18" s="162" t="s">
        <v>139</v>
      </c>
      <c r="J18" s="162">
        <v>299006930.91</v>
      </c>
      <c r="K18" s="163">
        <f>G8+G9+G10+G15+J18-H11</f>
        <v>329939868.47</v>
      </c>
      <c r="L18" s="164">
        <f>K18/1000</f>
        <v>329939.86847</v>
      </c>
    </row>
    <row r="19" ht="23.25" customHeight="1" spans="1:12">
      <c r="A19" s="118" t="s">
        <v>138</v>
      </c>
      <c r="B19" s="119"/>
      <c r="C19" s="120"/>
      <c r="D19" s="121"/>
      <c r="E19" s="120"/>
      <c r="F19" s="120"/>
      <c r="G19" s="120">
        <f>J18</f>
        <v>299006930.91</v>
      </c>
      <c r="H19" s="120"/>
      <c r="I19" s="162"/>
      <c r="J19" s="162"/>
      <c r="K19" s="163"/>
      <c r="L19" s="164"/>
    </row>
    <row r="20" ht="45.75" customHeight="1" spans="1:10">
      <c r="A20" s="109" t="s">
        <v>140</v>
      </c>
      <c r="B20" s="110"/>
      <c r="C20" s="111"/>
      <c r="D20" s="112">
        <v>50856000</v>
      </c>
      <c r="E20" s="111"/>
      <c r="F20" s="111"/>
      <c r="G20" s="111"/>
      <c r="H20" s="113">
        <v>62093000</v>
      </c>
      <c r="I20" s="70">
        <f>G16+G18-H20</f>
        <v>2184198155.3</v>
      </c>
      <c r="J20" s="164">
        <f>I20/1000</f>
        <v>2184198.1553</v>
      </c>
    </row>
    <row r="21" ht="12" customHeight="1" spans="1:10">
      <c r="A21" s="107" t="s">
        <v>141</v>
      </c>
      <c r="B21" s="108"/>
      <c r="C21" s="69">
        <v>12499.99</v>
      </c>
      <c r="D21" s="68"/>
      <c r="E21" s="69">
        <v>24566.06</v>
      </c>
      <c r="F21" s="69">
        <v>24566.06</v>
      </c>
      <c r="G21" s="69">
        <v>12499.99</v>
      </c>
      <c r="H21" s="126"/>
      <c r="I21" s="70"/>
      <c r="J21" s="70"/>
    </row>
    <row r="22" ht="12" customHeight="1" spans="1:10">
      <c r="A22" s="107" t="s">
        <v>142</v>
      </c>
      <c r="B22" s="108"/>
      <c r="C22" s="69">
        <v>210031.26</v>
      </c>
      <c r="D22" s="68"/>
      <c r="E22" s="68"/>
      <c r="F22" s="68"/>
      <c r="G22" s="69">
        <v>210031.26</v>
      </c>
      <c r="H22" s="126"/>
      <c r="I22" s="70">
        <f>G21+G22</f>
        <v>222531.25</v>
      </c>
      <c r="J22" s="70">
        <f>I22/1000</f>
        <v>222.53125</v>
      </c>
    </row>
    <row r="23" ht="23.25" customHeight="1" spans="1:10">
      <c r="A23" s="127" t="s">
        <v>143</v>
      </c>
      <c r="B23" s="128"/>
      <c r="C23" s="129">
        <v>7611436.16</v>
      </c>
      <c r="D23" s="130"/>
      <c r="E23" s="129">
        <v>4795652.45</v>
      </c>
      <c r="F23" s="129">
        <v>7862497.27</v>
      </c>
      <c r="G23" s="129">
        <v>4544591.34</v>
      </c>
      <c r="H23" s="131"/>
      <c r="I23" s="70"/>
      <c r="J23" s="70"/>
    </row>
    <row r="24" ht="23.25" customHeight="1" spans="1:10">
      <c r="A24" s="127" t="s">
        <v>144</v>
      </c>
      <c r="B24" s="128"/>
      <c r="C24" s="129">
        <v>491708.47</v>
      </c>
      <c r="D24" s="130"/>
      <c r="E24" s="129">
        <v>46010.74</v>
      </c>
      <c r="F24" s="130"/>
      <c r="G24" s="129">
        <v>537719.21</v>
      </c>
      <c r="H24" s="131"/>
      <c r="I24" s="70"/>
      <c r="J24" s="70"/>
    </row>
    <row r="25" ht="34.5" customHeight="1" spans="1:10">
      <c r="A25" s="127" t="s">
        <v>145</v>
      </c>
      <c r="B25" s="128"/>
      <c r="C25" s="130"/>
      <c r="D25" s="130"/>
      <c r="E25" s="129">
        <v>126613.06</v>
      </c>
      <c r="F25" s="130"/>
      <c r="G25" s="129">
        <v>126613.06</v>
      </c>
      <c r="H25" s="131"/>
      <c r="I25" s="70">
        <f>G23+G24+G25</f>
        <v>5208923.61</v>
      </c>
      <c r="J25" s="70">
        <f>I25/1000</f>
        <v>5208.92361</v>
      </c>
    </row>
    <row r="26" ht="23.25" customHeight="1" spans="1:10">
      <c r="A26" s="122" t="s">
        <v>146</v>
      </c>
      <c r="B26" s="123"/>
      <c r="C26" s="124">
        <v>1278931</v>
      </c>
      <c r="D26" s="125"/>
      <c r="E26" s="124">
        <v>194706</v>
      </c>
      <c r="F26" s="124">
        <v>760037</v>
      </c>
      <c r="G26" s="124">
        <v>713600</v>
      </c>
      <c r="H26" s="132"/>
      <c r="I26" s="70"/>
      <c r="J26" s="70"/>
    </row>
    <row r="27" ht="12" customHeight="1" spans="1:10">
      <c r="A27" s="122" t="s">
        <v>147</v>
      </c>
      <c r="B27" s="123"/>
      <c r="C27" s="124">
        <v>145403.55</v>
      </c>
      <c r="D27" s="125"/>
      <c r="E27" s="125"/>
      <c r="F27" s="124">
        <v>25937.69</v>
      </c>
      <c r="G27" s="124">
        <v>119465.86</v>
      </c>
      <c r="H27" s="132"/>
      <c r="I27" s="70">
        <f>G17+G26+G27</f>
        <v>1066606.9</v>
      </c>
      <c r="J27" s="70">
        <f>I27/1000</f>
        <v>1066.6069</v>
      </c>
    </row>
    <row r="28" ht="34.5" customHeight="1" spans="1:10">
      <c r="A28" s="107" t="s">
        <v>148</v>
      </c>
      <c r="B28" s="108"/>
      <c r="C28" s="69">
        <v>444444453.74</v>
      </c>
      <c r="D28" s="68"/>
      <c r="E28" s="69">
        <v>530000000</v>
      </c>
      <c r="F28" s="69">
        <v>83333324</v>
      </c>
      <c r="G28" s="69">
        <v>891111129.74</v>
      </c>
      <c r="H28" s="126"/>
      <c r="I28" s="70">
        <f>G28</f>
        <v>891111129.74</v>
      </c>
      <c r="J28" s="70">
        <f>I28/1000</f>
        <v>891111.12974</v>
      </c>
    </row>
    <row r="29" ht="12" customHeight="1" spans="1:10">
      <c r="A29" s="107" t="s">
        <v>149</v>
      </c>
      <c r="B29" s="108"/>
      <c r="C29" s="69">
        <v>6192137.76</v>
      </c>
      <c r="D29" s="68"/>
      <c r="E29" s="68"/>
      <c r="F29" s="68"/>
      <c r="G29" s="69">
        <v>6192137.76</v>
      </c>
      <c r="H29" s="126"/>
      <c r="I29" s="70"/>
      <c r="J29" s="70"/>
    </row>
    <row r="30" ht="23.25" customHeight="1" spans="1:10">
      <c r="A30" s="107" t="s">
        <v>150</v>
      </c>
      <c r="B30" s="108"/>
      <c r="C30" s="68"/>
      <c r="D30" s="69">
        <v>792357.21</v>
      </c>
      <c r="E30" s="68"/>
      <c r="F30" s="69">
        <v>120912.67</v>
      </c>
      <c r="G30" s="68"/>
      <c r="H30" s="133">
        <v>913269.88</v>
      </c>
      <c r="I30" s="70">
        <f>G29-H30</f>
        <v>5278867.88</v>
      </c>
      <c r="J30" s="70">
        <f>I30/1000</f>
        <v>5278.86788</v>
      </c>
    </row>
    <row r="31" ht="23.25" customHeight="1" spans="1:10">
      <c r="A31" s="107" t="s">
        <v>151</v>
      </c>
      <c r="B31" s="108"/>
      <c r="C31" s="69">
        <v>33691052</v>
      </c>
      <c r="D31" s="68"/>
      <c r="E31" s="68"/>
      <c r="F31" s="68"/>
      <c r="G31" s="69">
        <v>33691052</v>
      </c>
      <c r="H31" s="126"/>
      <c r="I31" s="70"/>
      <c r="J31" s="70"/>
    </row>
    <row r="32" ht="23.25" customHeight="1" spans="1:10">
      <c r="A32" s="107" t="s">
        <v>152</v>
      </c>
      <c r="B32" s="108"/>
      <c r="C32" s="68"/>
      <c r="D32" s="69">
        <v>4962220.58</v>
      </c>
      <c r="E32" s="68"/>
      <c r="F32" s="69">
        <v>558990.08</v>
      </c>
      <c r="G32" s="68"/>
      <c r="H32" s="133">
        <v>5521210.66</v>
      </c>
      <c r="I32" s="70">
        <f>G31-H32</f>
        <v>28169841.34</v>
      </c>
      <c r="J32" s="70">
        <f>I32/1000</f>
        <v>28169.84134</v>
      </c>
    </row>
    <row r="33" ht="23.25" customHeight="1" spans="1:10">
      <c r="A33" s="134"/>
      <c r="B33" s="134"/>
      <c r="C33" s="40"/>
      <c r="D33" s="41"/>
      <c r="E33" s="40"/>
      <c r="F33" s="41"/>
      <c r="G33" s="41">
        <f>SUM(G8:G32)</f>
        <v>5658939563.16</v>
      </c>
      <c r="H33" s="135">
        <f>SUM(H8:H32)</f>
        <v>69663716.77</v>
      </c>
      <c r="I33" s="70"/>
      <c r="J33" s="70"/>
    </row>
    <row r="34" ht="23.25" customHeight="1" spans="1:10">
      <c r="A34" s="134"/>
      <c r="B34" s="134"/>
      <c r="C34" s="40"/>
      <c r="D34" s="41"/>
      <c r="E34" s="40"/>
      <c r="F34" s="41"/>
      <c r="G34" s="136">
        <f>G33-H33</f>
        <v>5589275846.39</v>
      </c>
      <c r="H34" s="135"/>
      <c r="I34" s="70"/>
      <c r="J34" s="70"/>
    </row>
    <row r="35" s="1" customFormat="1" ht="23.25" customHeight="1" spans="1:10">
      <c r="A35" s="134"/>
      <c r="B35" s="134"/>
      <c r="C35" s="40"/>
      <c r="D35" s="41"/>
      <c r="E35" s="40"/>
      <c r="F35" s="41"/>
      <c r="G35" s="137">
        <f>G34/1000</f>
        <v>5589275.84639</v>
      </c>
      <c r="H35" s="135"/>
      <c r="I35" s="165"/>
      <c r="J35" s="165"/>
    </row>
    <row r="36" s="1" customFormat="1" ht="23.25" customHeight="1" spans="1:10">
      <c r="A36" s="134"/>
      <c r="B36" s="134"/>
      <c r="C36" s="40"/>
      <c r="D36" s="41"/>
      <c r="E36" s="40"/>
      <c r="F36" s="41"/>
      <c r="G36" s="40"/>
      <c r="H36" s="135"/>
      <c r="I36" s="165"/>
      <c r="J36" s="165"/>
    </row>
    <row r="37" ht="23.25" customHeight="1" spans="1:10">
      <c r="A37" s="138" t="s">
        <v>153</v>
      </c>
      <c r="B37" s="139"/>
      <c r="C37" s="140"/>
      <c r="D37" s="141">
        <v>65736712.32</v>
      </c>
      <c r="E37" s="140"/>
      <c r="F37" s="141">
        <v>13972602.75</v>
      </c>
      <c r="G37" s="140"/>
      <c r="H37" s="142">
        <v>79709315.07</v>
      </c>
      <c r="I37" s="70"/>
      <c r="J37" s="70"/>
    </row>
    <row r="38" ht="23.25" customHeight="1" spans="1:10">
      <c r="A38" s="143" t="s">
        <v>154</v>
      </c>
      <c r="B38" s="144"/>
      <c r="C38" s="89"/>
      <c r="D38" s="90">
        <v>7862497.27</v>
      </c>
      <c r="E38" s="90">
        <v>7862497.27</v>
      </c>
      <c r="F38" s="89"/>
      <c r="G38" s="89"/>
      <c r="H38" s="145"/>
      <c r="I38" s="70"/>
      <c r="J38" s="70"/>
    </row>
    <row r="39" ht="23.25" customHeight="1" spans="1:10">
      <c r="A39" s="143" t="s">
        <v>155</v>
      </c>
      <c r="B39" s="144"/>
      <c r="C39" s="89"/>
      <c r="D39" s="90">
        <v>946911</v>
      </c>
      <c r="E39" s="90">
        <v>946911</v>
      </c>
      <c r="F39" s="90">
        <v>652088</v>
      </c>
      <c r="G39" s="89"/>
      <c r="H39" s="146">
        <v>652088</v>
      </c>
      <c r="I39" s="70"/>
      <c r="J39" s="70"/>
    </row>
    <row r="40" ht="23.25" customHeight="1" spans="1:10">
      <c r="A40" s="143" t="s">
        <v>156</v>
      </c>
      <c r="B40" s="144"/>
      <c r="C40" s="89"/>
      <c r="D40" s="90">
        <v>9177558.94</v>
      </c>
      <c r="E40" s="89"/>
      <c r="F40" s="90">
        <v>2878350.21</v>
      </c>
      <c r="G40" s="89"/>
      <c r="H40" s="146">
        <v>12055909.15</v>
      </c>
      <c r="I40" s="70"/>
      <c r="J40" s="70"/>
    </row>
    <row r="41" ht="12" customHeight="1" spans="1:10">
      <c r="A41" s="143" t="s">
        <v>157</v>
      </c>
      <c r="B41" s="144"/>
      <c r="C41" s="89"/>
      <c r="D41" s="90">
        <v>744591</v>
      </c>
      <c r="E41" s="90">
        <v>744101</v>
      </c>
      <c r="F41" s="90">
        <v>523285</v>
      </c>
      <c r="G41" s="89"/>
      <c r="H41" s="146">
        <v>523775</v>
      </c>
      <c r="I41" s="70">
        <f>SUM(H38:H41)</f>
        <v>13231772.15</v>
      </c>
      <c r="J41" s="70">
        <f>I41/1000</f>
        <v>13231.77215</v>
      </c>
    </row>
    <row r="42" ht="23.25" customHeight="1" spans="1:10">
      <c r="A42" s="147" t="s">
        <v>158</v>
      </c>
      <c r="B42" s="148"/>
      <c r="C42" s="149"/>
      <c r="D42" s="150">
        <v>130539</v>
      </c>
      <c r="E42" s="150">
        <v>130539</v>
      </c>
      <c r="F42" s="150">
        <v>114300</v>
      </c>
      <c r="G42" s="149"/>
      <c r="H42" s="151">
        <v>114300</v>
      </c>
      <c r="I42" s="70"/>
      <c r="J42" s="70"/>
    </row>
    <row r="43" ht="34.5" customHeight="1" spans="1:10">
      <c r="A43" s="147" t="s">
        <v>159</v>
      </c>
      <c r="B43" s="148"/>
      <c r="C43" s="149"/>
      <c r="D43" s="150">
        <v>116941</v>
      </c>
      <c r="E43" s="150">
        <v>116941</v>
      </c>
      <c r="F43" s="150">
        <v>89893</v>
      </c>
      <c r="G43" s="149"/>
      <c r="H43" s="151">
        <v>89893</v>
      </c>
      <c r="I43" s="70"/>
      <c r="J43" s="70"/>
    </row>
    <row r="44" ht="34.5" customHeight="1" spans="1:10">
      <c r="A44" s="147" t="s">
        <v>160</v>
      </c>
      <c r="B44" s="148"/>
      <c r="C44" s="149"/>
      <c r="D44" s="150">
        <v>151821</v>
      </c>
      <c r="E44" s="150">
        <v>151821</v>
      </c>
      <c r="F44" s="150">
        <v>128161</v>
      </c>
      <c r="G44" s="149"/>
      <c r="H44" s="151">
        <v>128161</v>
      </c>
      <c r="I44" s="70"/>
      <c r="J44" s="70"/>
    </row>
    <row r="45" ht="23.25" customHeight="1" spans="1:10">
      <c r="A45" s="147" t="s">
        <v>161</v>
      </c>
      <c r="B45" s="148"/>
      <c r="C45" s="149"/>
      <c r="D45" s="150">
        <v>1113416</v>
      </c>
      <c r="E45" s="150">
        <v>1113416</v>
      </c>
      <c r="F45" s="150">
        <v>777464</v>
      </c>
      <c r="G45" s="149"/>
      <c r="H45" s="151">
        <v>777464</v>
      </c>
      <c r="I45" s="70">
        <f>SUM(H42:H45)</f>
        <v>1109818</v>
      </c>
      <c r="J45" s="70">
        <f>I45/1000</f>
        <v>1109.818</v>
      </c>
    </row>
    <row r="46" ht="34.5" customHeight="1" spans="1:10">
      <c r="A46" s="107" t="s">
        <v>162</v>
      </c>
      <c r="B46" s="108"/>
      <c r="C46" s="68"/>
      <c r="D46" s="69">
        <v>4855250.81</v>
      </c>
      <c r="E46" s="69">
        <v>6545013.22</v>
      </c>
      <c r="F46" s="69">
        <v>5114878.65</v>
      </c>
      <c r="G46" s="68"/>
      <c r="H46" s="152">
        <v>3425116.24</v>
      </c>
      <c r="I46" s="70"/>
      <c r="J46" s="70"/>
    </row>
    <row r="47" ht="23.25" customHeight="1" spans="1:10">
      <c r="A47" s="107" t="s">
        <v>163</v>
      </c>
      <c r="B47" s="108"/>
      <c r="C47" s="68"/>
      <c r="D47" s="76">
        <v>-400000</v>
      </c>
      <c r="E47" s="69">
        <v>7152074.55</v>
      </c>
      <c r="F47" s="69">
        <v>7552074.55</v>
      </c>
      <c r="G47" s="68"/>
      <c r="H47" s="126"/>
      <c r="I47" s="70"/>
      <c r="J47" s="70"/>
    </row>
    <row r="48" ht="23.25" customHeight="1" spans="1:10">
      <c r="A48" s="107" t="s">
        <v>164</v>
      </c>
      <c r="B48" s="108"/>
      <c r="C48" s="68"/>
      <c r="D48" s="69">
        <v>30000</v>
      </c>
      <c r="E48" s="69">
        <v>30000</v>
      </c>
      <c r="F48" s="69">
        <v>30000</v>
      </c>
      <c r="G48" s="68"/>
      <c r="H48" s="152">
        <v>30000</v>
      </c>
      <c r="I48" s="70"/>
      <c r="J48" s="70"/>
    </row>
    <row r="49" ht="23.25" customHeight="1" spans="1:10">
      <c r="A49" s="107" t="s">
        <v>165</v>
      </c>
      <c r="B49" s="108"/>
      <c r="C49" s="68"/>
      <c r="D49" s="69">
        <v>746014937.45</v>
      </c>
      <c r="E49" s="69">
        <v>497910970.61</v>
      </c>
      <c r="F49" s="69">
        <v>441343165.3</v>
      </c>
      <c r="G49" s="68"/>
      <c r="H49" s="152">
        <v>689447132.14</v>
      </c>
      <c r="I49" s="70">
        <f>SUM(H46:H49)</f>
        <v>692902248.38</v>
      </c>
      <c r="J49" s="70">
        <f>I49/1000</f>
        <v>692902.24838</v>
      </c>
    </row>
    <row r="50" ht="34.5" customHeight="1" spans="1:10">
      <c r="A50" s="107" t="s">
        <v>166</v>
      </c>
      <c r="B50" s="108"/>
      <c r="C50" s="68"/>
      <c r="D50" s="69">
        <v>11295061.14</v>
      </c>
      <c r="E50" s="68"/>
      <c r="F50" s="68"/>
      <c r="G50" s="68"/>
      <c r="H50" s="152">
        <v>11295061.14</v>
      </c>
      <c r="I50" s="70">
        <f>H50/1000</f>
        <v>11295.06114</v>
      </c>
      <c r="J50" s="70"/>
    </row>
    <row r="51" ht="34.5" customHeight="1" spans="1:10">
      <c r="A51" s="107" t="s">
        <v>167</v>
      </c>
      <c r="B51" s="108"/>
      <c r="C51" s="68"/>
      <c r="D51" s="69">
        <v>1100000000</v>
      </c>
      <c r="E51" s="68"/>
      <c r="F51" s="69">
        <v>250000000</v>
      </c>
      <c r="G51" s="68"/>
      <c r="H51" s="152">
        <v>1350000000</v>
      </c>
      <c r="I51" s="70"/>
      <c r="J51" s="70"/>
    </row>
    <row r="52" ht="45.75" customHeight="1" spans="1:10">
      <c r="A52" s="107" t="s">
        <v>168</v>
      </c>
      <c r="B52" s="108"/>
      <c r="C52" s="69">
        <v>84073855.95</v>
      </c>
      <c r="D52" s="68"/>
      <c r="E52" s="69">
        <v>15679288.75</v>
      </c>
      <c r="F52" s="69">
        <v>3900941.88</v>
      </c>
      <c r="G52" s="69">
        <v>95852202.82</v>
      </c>
      <c r="H52" s="126"/>
      <c r="I52" s="70">
        <f>H51-G52</f>
        <v>1254147797.18</v>
      </c>
      <c r="J52" s="70">
        <f>I52/1000</f>
        <v>1254147.79718</v>
      </c>
    </row>
    <row r="53" ht="45.75" customHeight="1" spans="1:10">
      <c r="A53" s="107" t="s">
        <v>169</v>
      </c>
      <c r="B53" s="108"/>
      <c r="C53" s="68"/>
      <c r="D53" s="69">
        <v>3000000000</v>
      </c>
      <c r="E53" s="68"/>
      <c r="F53" s="68"/>
      <c r="G53" s="68"/>
      <c r="H53" s="152">
        <v>3000000000</v>
      </c>
      <c r="I53" s="70"/>
      <c r="J53" s="70"/>
    </row>
    <row r="54" ht="45.75" customHeight="1" spans="1:10">
      <c r="A54" s="107" t="s">
        <v>170</v>
      </c>
      <c r="B54" s="108"/>
      <c r="C54" s="68"/>
      <c r="D54" s="69">
        <v>622526.39</v>
      </c>
      <c r="E54" s="69">
        <v>210806.94</v>
      </c>
      <c r="F54" s="69">
        <v>210806.94</v>
      </c>
      <c r="G54" s="68"/>
      <c r="H54" s="152">
        <v>622526.39</v>
      </c>
      <c r="I54" s="70">
        <f>H53+H54</f>
        <v>3000622526.39</v>
      </c>
      <c r="J54" s="70">
        <f>I54/1000</f>
        <v>3000622.52639</v>
      </c>
    </row>
    <row r="55" ht="23.25" customHeight="1" spans="1:10">
      <c r="A55" s="138" t="s">
        <v>171</v>
      </c>
      <c r="B55" s="139"/>
      <c r="C55" s="140"/>
      <c r="D55" s="141">
        <v>127500000</v>
      </c>
      <c r="E55" s="140"/>
      <c r="F55" s="141">
        <v>25375000</v>
      </c>
      <c r="G55" s="140"/>
      <c r="H55" s="142">
        <v>152875000</v>
      </c>
      <c r="I55" s="70">
        <f>H55+H37</f>
        <v>232584315.07</v>
      </c>
      <c r="J55" s="70">
        <f>I55/1000</f>
        <v>232584.31507</v>
      </c>
    </row>
    <row r="56" ht="34.5" customHeight="1" spans="1:10">
      <c r="A56" s="107" t="s">
        <v>172</v>
      </c>
      <c r="B56" s="108"/>
      <c r="C56" s="68"/>
      <c r="D56" s="69">
        <v>354714.04</v>
      </c>
      <c r="E56" s="68"/>
      <c r="F56" s="68"/>
      <c r="G56" s="68"/>
      <c r="H56" s="152">
        <v>354714.04</v>
      </c>
      <c r="I56" s="70">
        <f>H56/1000</f>
        <v>354.71404</v>
      </c>
      <c r="J56" s="70"/>
    </row>
    <row r="57" s="1" customFormat="1" ht="34.5" customHeight="1" spans="1:10">
      <c r="A57" s="153"/>
      <c r="B57" s="154"/>
      <c r="C57" s="40"/>
      <c r="D57" s="41"/>
      <c r="E57" s="40"/>
      <c r="F57" s="40"/>
      <c r="G57" s="41">
        <f>SUM(G52:G56)</f>
        <v>95852202.82</v>
      </c>
      <c r="H57" s="155">
        <f>SUM(H37:H56)</f>
        <v>5302100455.17</v>
      </c>
      <c r="I57" s="165"/>
      <c r="J57" s="165"/>
    </row>
    <row r="58" s="1" customFormat="1" ht="34.5" customHeight="1" spans="1:10">
      <c r="A58" s="153"/>
      <c r="B58" s="154"/>
      <c r="C58" s="40"/>
      <c r="D58" s="41"/>
      <c r="E58" s="40"/>
      <c r="F58" s="40"/>
      <c r="G58" s="40"/>
      <c r="H58" s="155">
        <f>H57-G57</f>
        <v>5206248252.35</v>
      </c>
      <c r="I58" s="165"/>
      <c r="J58" s="165"/>
    </row>
    <row r="59" s="1" customFormat="1" ht="34.5" customHeight="1" spans="1:10">
      <c r="A59" s="153"/>
      <c r="B59" s="154"/>
      <c r="C59" s="40"/>
      <c r="D59" s="41"/>
      <c r="E59" s="40"/>
      <c r="F59" s="40"/>
      <c r="G59" s="40"/>
      <c r="H59" s="156">
        <f>H58/1000</f>
        <v>5206248.25235</v>
      </c>
      <c r="I59" s="165"/>
      <c r="J59" s="165"/>
    </row>
    <row r="60" ht="12" customHeight="1" spans="1:10">
      <c r="A60" s="107" t="s">
        <v>173</v>
      </c>
      <c r="B60" s="108"/>
      <c r="C60" s="68"/>
      <c r="D60" s="69">
        <v>300000000</v>
      </c>
      <c r="E60" s="68"/>
      <c r="F60" s="68"/>
      <c r="G60" s="68"/>
      <c r="H60" s="152">
        <v>300000000</v>
      </c>
      <c r="I60" s="70"/>
      <c r="J60" s="70"/>
    </row>
    <row r="61" ht="23.25" customHeight="1" spans="1:10">
      <c r="A61" s="157" t="s">
        <v>174</v>
      </c>
      <c r="B61" s="158"/>
      <c r="C61" s="73"/>
      <c r="D61" s="159">
        <v>51816075.48</v>
      </c>
      <c r="E61" s="73"/>
      <c r="F61" s="159">
        <v>39229518.56</v>
      </c>
      <c r="G61" s="73"/>
      <c r="H61" s="160">
        <v>83027594.04</v>
      </c>
      <c r="I61" s="70"/>
      <c r="J61" s="70"/>
    </row>
    <row r="62" ht="23.25" customHeight="1" spans="1:11">
      <c r="A62" s="157" t="s">
        <v>175</v>
      </c>
      <c r="B62" s="158"/>
      <c r="C62" s="73"/>
      <c r="D62" s="73"/>
      <c r="E62" s="159">
        <v>96940047.34</v>
      </c>
      <c r="F62" s="159">
        <v>96940047.34</v>
      </c>
      <c r="G62" s="73"/>
      <c r="H62" s="161"/>
      <c r="I62" s="166"/>
      <c r="J62" s="70"/>
      <c r="K62" s="70"/>
    </row>
    <row r="63" ht="23.25" customHeight="1" spans="1:11">
      <c r="A63" s="157" t="s">
        <v>176</v>
      </c>
      <c r="B63" s="158"/>
      <c r="C63" s="73"/>
      <c r="D63" s="73"/>
      <c r="E63" s="159">
        <v>23986251.78</v>
      </c>
      <c r="F63" s="159">
        <v>23986251.78</v>
      </c>
      <c r="G63" s="73"/>
      <c r="H63" s="161"/>
      <c r="I63" s="166"/>
      <c r="J63" s="70"/>
      <c r="K63" s="70"/>
    </row>
    <row r="64" ht="12" customHeight="1" spans="1:11">
      <c r="A64" s="157" t="s">
        <v>177</v>
      </c>
      <c r="B64" s="158"/>
      <c r="C64" s="73"/>
      <c r="D64" s="73"/>
      <c r="E64" s="159">
        <v>56765173.14</v>
      </c>
      <c r="F64" s="159">
        <v>56765173.14</v>
      </c>
      <c r="G64" s="73"/>
      <c r="H64" s="161"/>
      <c r="I64" s="166"/>
      <c r="J64" s="70"/>
      <c r="K64" s="70"/>
    </row>
    <row r="65" ht="23.25" customHeight="1" spans="1:11">
      <c r="A65" s="157" t="s">
        <v>178</v>
      </c>
      <c r="B65" s="158"/>
      <c r="C65" s="73"/>
      <c r="D65" s="73"/>
      <c r="E65" s="159">
        <v>15679288.75</v>
      </c>
      <c r="F65" s="159">
        <v>15679288.75</v>
      </c>
      <c r="G65" s="73"/>
      <c r="H65" s="161"/>
      <c r="I65" s="166"/>
      <c r="J65" s="70"/>
      <c r="K65" s="70"/>
    </row>
    <row r="66" ht="23.25" customHeight="1" spans="1:11">
      <c r="A66" s="157" t="s">
        <v>179</v>
      </c>
      <c r="B66" s="158"/>
      <c r="C66" s="73"/>
      <c r="D66" s="73"/>
      <c r="E66" s="159">
        <v>509332.99</v>
      </c>
      <c r="F66" s="159">
        <v>509332.99</v>
      </c>
      <c r="G66" s="73"/>
      <c r="H66" s="161"/>
      <c r="I66" s="166"/>
      <c r="J66" s="70"/>
      <c r="K66" s="70"/>
    </row>
    <row r="67" ht="12" customHeight="1" spans="1:11">
      <c r="A67" s="157" t="s">
        <v>180</v>
      </c>
      <c r="B67" s="158"/>
      <c r="C67" s="73"/>
      <c r="D67" s="73"/>
      <c r="E67" s="75">
        <v>0.68</v>
      </c>
      <c r="F67" s="75">
        <v>0.68</v>
      </c>
      <c r="G67" s="73"/>
      <c r="H67" s="161"/>
      <c r="I67" s="166"/>
      <c r="J67" s="70"/>
      <c r="K67" s="70"/>
    </row>
    <row r="68" ht="12" customHeight="1" spans="1:11">
      <c r="A68" s="157" t="s">
        <v>181</v>
      </c>
      <c r="B68" s="158"/>
      <c r="C68" s="73"/>
      <c r="D68" s="73"/>
      <c r="E68" s="159">
        <v>14054415.84</v>
      </c>
      <c r="F68" s="159">
        <v>14054415.84</v>
      </c>
      <c r="G68" s="73"/>
      <c r="H68" s="161"/>
      <c r="I68" s="166"/>
      <c r="J68" s="70"/>
      <c r="K68" s="70"/>
    </row>
    <row r="69" ht="23.25" customHeight="1" spans="1:11">
      <c r="A69" s="157" t="s">
        <v>182</v>
      </c>
      <c r="B69" s="158"/>
      <c r="C69" s="73"/>
      <c r="D69" s="73"/>
      <c r="E69" s="159">
        <v>407568</v>
      </c>
      <c r="F69" s="159">
        <v>407568</v>
      </c>
      <c r="G69" s="73"/>
      <c r="H69" s="161"/>
      <c r="I69" s="166"/>
      <c r="J69" s="70"/>
      <c r="K69" s="70"/>
    </row>
    <row r="70" ht="23.25" customHeight="1" spans="1:11">
      <c r="A70" s="157" t="s">
        <v>183</v>
      </c>
      <c r="B70" s="158"/>
      <c r="C70" s="73"/>
      <c r="D70" s="73"/>
      <c r="E70" s="159">
        <v>39347602.75</v>
      </c>
      <c r="F70" s="159">
        <v>39347602.75</v>
      </c>
      <c r="G70" s="73"/>
      <c r="H70" s="161"/>
      <c r="I70" s="166"/>
      <c r="J70" s="70"/>
      <c r="K70" s="70"/>
    </row>
    <row r="71" ht="23.25" customHeight="1" spans="1:11">
      <c r="A71" s="157" t="s">
        <v>184</v>
      </c>
      <c r="B71" s="158"/>
      <c r="C71" s="73"/>
      <c r="D71" s="73"/>
      <c r="E71" s="159">
        <v>3900941.88</v>
      </c>
      <c r="F71" s="159">
        <v>3900941.88</v>
      </c>
      <c r="G71" s="73"/>
      <c r="H71" s="161"/>
      <c r="I71" s="166"/>
      <c r="J71" s="70"/>
      <c r="K71" s="70"/>
    </row>
    <row r="72" ht="12" customHeight="1" spans="1:11">
      <c r="A72" s="157" t="s">
        <v>185</v>
      </c>
      <c r="B72" s="158"/>
      <c r="C72" s="73"/>
      <c r="D72" s="73"/>
      <c r="E72" s="75">
        <v>0.31</v>
      </c>
      <c r="F72" s="75">
        <v>0.31</v>
      </c>
      <c r="G72" s="73"/>
      <c r="H72" s="161"/>
      <c r="I72" s="166"/>
      <c r="J72" s="70"/>
      <c r="K72" s="70"/>
    </row>
    <row r="73" ht="12" customHeight="1" spans="1:9">
      <c r="A73" s="167" t="s">
        <v>186</v>
      </c>
      <c r="B73" s="168"/>
      <c r="C73" s="169">
        <v>5343995696.89</v>
      </c>
      <c r="D73" s="169">
        <v>5343995696.89</v>
      </c>
      <c r="E73" s="169">
        <v>17671832540.54</v>
      </c>
      <c r="F73" s="169">
        <v>17671832540.54</v>
      </c>
      <c r="G73" s="169">
        <v>5597293846.39</v>
      </c>
      <c r="H73" s="170">
        <v>5597293846.39</v>
      </c>
      <c r="I73" s="171"/>
    </row>
  </sheetData>
  <mergeCells count="68">
    <mergeCell ref="A1:H1"/>
    <mergeCell ref="A2:H2"/>
    <mergeCell ref="B4:H4"/>
    <mergeCell ref="C6:D6"/>
    <mergeCell ref="E6:F6"/>
    <mergeCell ref="G6:I6"/>
    <mergeCell ref="H7:I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H73:I73"/>
    <mergeCell ref="A6:B7"/>
  </mergeCells>
  <pageMargins left="0.7" right="0.7" top="0.75" bottom="0.75" header="0.3" footer="0.3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6"/>
  <sheetViews>
    <sheetView zoomScale="85" zoomScaleNormal="85" workbookViewId="0">
      <selection activeCell="I24" sqref="I24"/>
    </sheetView>
  </sheetViews>
  <sheetFormatPr defaultColWidth="9" defaultRowHeight="14.4"/>
  <cols>
    <col min="1" max="1" width="11.8888888888889" customWidth="1"/>
    <col min="2" max="2" width="5.77777777777778" customWidth="1"/>
    <col min="3" max="3" width="15.6666666666667" customWidth="1"/>
    <col min="4" max="5" width="12.5555555555556" customWidth="1"/>
    <col min="6" max="6" width="14.1111111111111" customWidth="1"/>
    <col min="7" max="9" width="8" customWidth="1"/>
    <col min="10" max="10" width="10.7777777777778" customWidth="1"/>
    <col min="11" max="11" width="8" customWidth="1"/>
    <col min="12" max="12" width="9.44444444444444" customWidth="1"/>
    <col min="13" max="14" width="12.5555555555556" customWidth="1"/>
    <col min="15" max="15" width="10.5555555555556" customWidth="1"/>
    <col min="16" max="17" width="13.6666666666667" customWidth="1"/>
    <col min="18" max="256" width="8" customWidth="1"/>
    <col min="257" max="257" width="14.5555555555556" customWidth="1"/>
    <col min="258" max="258" width="5.77777777777778" customWidth="1"/>
    <col min="259" max="259" width="20.3333333333333" customWidth="1"/>
    <col min="260" max="261" width="14.5555555555556" customWidth="1"/>
    <col min="262" max="262" width="31.3333333333333" customWidth="1"/>
    <col min="263" max="512" width="8" customWidth="1"/>
    <col min="513" max="513" width="14.5555555555556" customWidth="1"/>
    <col min="514" max="514" width="5.77777777777778" customWidth="1"/>
    <col min="515" max="515" width="20.3333333333333" customWidth="1"/>
    <col min="516" max="517" width="14.5555555555556" customWidth="1"/>
    <col min="518" max="518" width="31.3333333333333" customWidth="1"/>
    <col min="519" max="768" width="8" customWidth="1"/>
    <col min="769" max="769" width="14.5555555555556" customWidth="1"/>
    <col min="770" max="770" width="5.77777777777778" customWidth="1"/>
    <col min="771" max="771" width="20.3333333333333" customWidth="1"/>
    <col min="772" max="773" width="14.5555555555556" customWidth="1"/>
    <col min="774" max="774" width="31.3333333333333" customWidth="1"/>
    <col min="775" max="1024" width="8" customWidth="1"/>
    <col min="1025" max="1025" width="14.5555555555556" customWidth="1"/>
    <col min="1026" max="1026" width="5.77777777777778" customWidth="1"/>
    <col min="1027" max="1027" width="20.3333333333333" customWidth="1"/>
    <col min="1028" max="1029" width="14.5555555555556" customWidth="1"/>
    <col min="1030" max="1030" width="31.3333333333333" customWidth="1"/>
    <col min="1031" max="1280" width="8" customWidth="1"/>
    <col min="1281" max="1281" width="14.5555555555556" customWidth="1"/>
    <col min="1282" max="1282" width="5.77777777777778" customWidth="1"/>
    <col min="1283" max="1283" width="20.3333333333333" customWidth="1"/>
    <col min="1284" max="1285" width="14.5555555555556" customWidth="1"/>
    <col min="1286" max="1286" width="31.3333333333333" customWidth="1"/>
    <col min="1287" max="1536" width="8" customWidth="1"/>
    <col min="1537" max="1537" width="14.5555555555556" customWidth="1"/>
    <col min="1538" max="1538" width="5.77777777777778" customWidth="1"/>
    <col min="1539" max="1539" width="20.3333333333333" customWidth="1"/>
    <col min="1540" max="1541" width="14.5555555555556" customWidth="1"/>
    <col min="1542" max="1542" width="31.3333333333333" customWidth="1"/>
    <col min="1543" max="1792" width="8" customWidth="1"/>
    <col min="1793" max="1793" width="14.5555555555556" customWidth="1"/>
    <col min="1794" max="1794" width="5.77777777777778" customWidth="1"/>
    <col min="1795" max="1795" width="20.3333333333333" customWidth="1"/>
    <col min="1796" max="1797" width="14.5555555555556" customWidth="1"/>
    <col min="1798" max="1798" width="31.3333333333333" customWidth="1"/>
    <col min="1799" max="2048" width="8" customWidth="1"/>
    <col min="2049" max="2049" width="14.5555555555556" customWidth="1"/>
    <col min="2050" max="2050" width="5.77777777777778" customWidth="1"/>
    <col min="2051" max="2051" width="20.3333333333333" customWidth="1"/>
    <col min="2052" max="2053" width="14.5555555555556" customWidth="1"/>
    <col min="2054" max="2054" width="31.3333333333333" customWidth="1"/>
    <col min="2055" max="2304" width="8" customWidth="1"/>
    <col min="2305" max="2305" width="14.5555555555556" customWidth="1"/>
    <col min="2306" max="2306" width="5.77777777777778" customWidth="1"/>
    <col min="2307" max="2307" width="20.3333333333333" customWidth="1"/>
    <col min="2308" max="2309" width="14.5555555555556" customWidth="1"/>
    <col min="2310" max="2310" width="31.3333333333333" customWidth="1"/>
    <col min="2311" max="2560" width="8" customWidth="1"/>
    <col min="2561" max="2561" width="14.5555555555556" customWidth="1"/>
    <col min="2562" max="2562" width="5.77777777777778" customWidth="1"/>
    <col min="2563" max="2563" width="20.3333333333333" customWidth="1"/>
    <col min="2564" max="2565" width="14.5555555555556" customWidth="1"/>
    <col min="2566" max="2566" width="31.3333333333333" customWidth="1"/>
    <col min="2567" max="2816" width="8" customWidth="1"/>
    <col min="2817" max="2817" width="14.5555555555556" customWidth="1"/>
    <col min="2818" max="2818" width="5.77777777777778" customWidth="1"/>
    <col min="2819" max="2819" width="20.3333333333333" customWidth="1"/>
    <col min="2820" max="2821" width="14.5555555555556" customWidth="1"/>
    <col min="2822" max="2822" width="31.3333333333333" customWidth="1"/>
    <col min="2823" max="3072" width="8" customWidth="1"/>
    <col min="3073" max="3073" width="14.5555555555556" customWidth="1"/>
    <col min="3074" max="3074" width="5.77777777777778" customWidth="1"/>
    <col min="3075" max="3075" width="20.3333333333333" customWidth="1"/>
    <col min="3076" max="3077" width="14.5555555555556" customWidth="1"/>
    <col min="3078" max="3078" width="31.3333333333333" customWidth="1"/>
    <col min="3079" max="3328" width="8" customWidth="1"/>
    <col min="3329" max="3329" width="14.5555555555556" customWidth="1"/>
    <col min="3330" max="3330" width="5.77777777777778" customWidth="1"/>
    <col min="3331" max="3331" width="20.3333333333333" customWidth="1"/>
    <col min="3332" max="3333" width="14.5555555555556" customWidth="1"/>
    <col min="3334" max="3334" width="31.3333333333333" customWidth="1"/>
    <col min="3335" max="3584" width="8" customWidth="1"/>
    <col min="3585" max="3585" width="14.5555555555556" customWidth="1"/>
    <col min="3586" max="3586" width="5.77777777777778" customWidth="1"/>
    <col min="3587" max="3587" width="20.3333333333333" customWidth="1"/>
    <col min="3588" max="3589" width="14.5555555555556" customWidth="1"/>
    <col min="3590" max="3590" width="31.3333333333333" customWidth="1"/>
    <col min="3591" max="3840" width="8" customWidth="1"/>
    <col min="3841" max="3841" width="14.5555555555556" customWidth="1"/>
    <col min="3842" max="3842" width="5.77777777777778" customWidth="1"/>
    <col min="3843" max="3843" width="20.3333333333333" customWidth="1"/>
    <col min="3844" max="3845" width="14.5555555555556" customWidth="1"/>
    <col min="3846" max="3846" width="31.3333333333333" customWidth="1"/>
    <col min="3847" max="4096" width="8" customWidth="1"/>
    <col min="4097" max="4097" width="14.5555555555556" customWidth="1"/>
    <col min="4098" max="4098" width="5.77777777777778" customWidth="1"/>
    <col min="4099" max="4099" width="20.3333333333333" customWidth="1"/>
    <col min="4100" max="4101" width="14.5555555555556" customWidth="1"/>
    <col min="4102" max="4102" width="31.3333333333333" customWidth="1"/>
    <col min="4103" max="4352" width="8" customWidth="1"/>
    <col min="4353" max="4353" width="14.5555555555556" customWidth="1"/>
    <col min="4354" max="4354" width="5.77777777777778" customWidth="1"/>
    <col min="4355" max="4355" width="20.3333333333333" customWidth="1"/>
    <col min="4356" max="4357" width="14.5555555555556" customWidth="1"/>
    <col min="4358" max="4358" width="31.3333333333333" customWidth="1"/>
    <col min="4359" max="4608" width="8" customWidth="1"/>
    <col min="4609" max="4609" width="14.5555555555556" customWidth="1"/>
    <col min="4610" max="4610" width="5.77777777777778" customWidth="1"/>
    <col min="4611" max="4611" width="20.3333333333333" customWidth="1"/>
    <col min="4612" max="4613" width="14.5555555555556" customWidth="1"/>
    <col min="4614" max="4614" width="31.3333333333333" customWidth="1"/>
    <col min="4615" max="4864" width="8" customWidth="1"/>
    <col min="4865" max="4865" width="14.5555555555556" customWidth="1"/>
    <col min="4866" max="4866" width="5.77777777777778" customWidth="1"/>
    <col min="4867" max="4867" width="20.3333333333333" customWidth="1"/>
    <col min="4868" max="4869" width="14.5555555555556" customWidth="1"/>
    <col min="4870" max="4870" width="31.3333333333333" customWidth="1"/>
    <col min="4871" max="5120" width="8" customWidth="1"/>
    <col min="5121" max="5121" width="14.5555555555556" customWidth="1"/>
    <col min="5122" max="5122" width="5.77777777777778" customWidth="1"/>
    <col min="5123" max="5123" width="20.3333333333333" customWidth="1"/>
    <col min="5124" max="5125" width="14.5555555555556" customWidth="1"/>
    <col min="5126" max="5126" width="31.3333333333333" customWidth="1"/>
    <col min="5127" max="5376" width="8" customWidth="1"/>
    <col min="5377" max="5377" width="14.5555555555556" customWidth="1"/>
    <col min="5378" max="5378" width="5.77777777777778" customWidth="1"/>
    <col min="5379" max="5379" width="20.3333333333333" customWidth="1"/>
    <col min="5380" max="5381" width="14.5555555555556" customWidth="1"/>
    <col min="5382" max="5382" width="31.3333333333333" customWidth="1"/>
    <col min="5383" max="5632" width="8" customWidth="1"/>
    <col min="5633" max="5633" width="14.5555555555556" customWidth="1"/>
    <col min="5634" max="5634" width="5.77777777777778" customWidth="1"/>
    <col min="5635" max="5635" width="20.3333333333333" customWidth="1"/>
    <col min="5636" max="5637" width="14.5555555555556" customWidth="1"/>
    <col min="5638" max="5638" width="31.3333333333333" customWidth="1"/>
    <col min="5639" max="5888" width="8" customWidth="1"/>
    <col min="5889" max="5889" width="14.5555555555556" customWidth="1"/>
    <col min="5890" max="5890" width="5.77777777777778" customWidth="1"/>
    <col min="5891" max="5891" width="20.3333333333333" customWidth="1"/>
    <col min="5892" max="5893" width="14.5555555555556" customWidth="1"/>
    <col min="5894" max="5894" width="31.3333333333333" customWidth="1"/>
    <col min="5895" max="6144" width="8" customWidth="1"/>
    <col min="6145" max="6145" width="14.5555555555556" customWidth="1"/>
    <col min="6146" max="6146" width="5.77777777777778" customWidth="1"/>
    <col min="6147" max="6147" width="20.3333333333333" customWidth="1"/>
    <col min="6148" max="6149" width="14.5555555555556" customWidth="1"/>
    <col min="6150" max="6150" width="31.3333333333333" customWidth="1"/>
    <col min="6151" max="6400" width="8" customWidth="1"/>
    <col min="6401" max="6401" width="14.5555555555556" customWidth="1"/>
    <col min="6402" max="6402" width="5.77777777777778" customWidth="1"/>
    <col min="6403" max="6403" width="20.3333333333333" customWidth="1"/>
    <col min="6404" max="6405" width="14.5555555555556" customWidth="1"/>
    <col min="6406" max="6406" width="31.3333333333333" customWidth="1"/>
    <col min="6407" max="6656" width="8" customWidth="1"/>
    <col min="6657" max="6657" width="14.5555555555556" customWidth="1"/>
    <col min="6658" max="6658" width="5.77777777777778" customWidth="1"/>
    <col min="6659" max="6659" width="20.3333333333333" customWidth="1"/>
    <col min="6660" max="6661" width="14.5555555555556" customWidth="1"/>
    <col min="6662" max="6662" width="31.3333333333333" customWidth="1"/>
    <col min="6663" max="6912" width="8" customWidth="1"/>
    <col min="6913" max="6913" width="14.5555555555556" customWidth="1"/>
    <col min="6914" max="6914" width="5.77777777777778" customWidth="1"/>
    <col min="6915" max="6915" width="20.3333333333333" customWidth="1"/>
    <col min="6916" max="6917" width="14.5555555555556" customWidth="1"/>
    <col min="6918" max="6918" width="31.3333333333333" customWidth="1"/>
    <col min="6919" max="7168" width="8" customWidth="1"/>
    <col min="7169" max="7169" width="14.5555555555556" customWidth="1"/>
    <col min="7170" max="7170" width="5.77777777777778" customWidth="1"/>
    <col min="7171" max="7171" width="20.3333333333333" customWidth="1"/>
    <col min="7172" max="7173" width="14.5555555555556" customWidth="1"/>
    <col min="7174" max="7174" width="31.3333333333333" customWidth="1"/>
    <col min="7175" max="7424" width="8" customWidth="1"/>
    <col min="7425" max="7425" width="14.5555555555556" customWidth="1"/>
    <col min="7426" max="7426" width="5.77777777777778" customWidth="1"/>
    <col min="7427" max="7427" width="20.3333333333333" customWidth="1"/>
    <col min="7428" max="7429" width="14.5555555555556" customWidth="1"/>
    <col min="7430" max="7430" width="31.3333333333333" customWidth="1"/>
    <col min="7431" max="7680" width="8" customWidth="1"/>
    <col min="7681" max="7681" width="14.5555555555556" customWidth="1"/>
    <col min="7682" max="7682" width="5.77777777777778" customWidth="1"/>
    <col min="7683" max="7683" width="20.3333333333333" customWidth="1"/>
    <col min="7684" max="7685" width="14.5555555555556" customWidth="1"/>
    <col min="7686" max="7686" width="31.3333333333333" customWidth="1"/>
    <col min="7687" max="7936" width="8" customWidth="1"/>
    <col min="7937" max="7937" width="14.5555555555556" customWidth="1"/>
    <col min="7938" max="7938" width="5.77777777777778" customWidth="1"/>
    <col min="7939" max="7939" width="20.3333333333333" customWidth="1"/>
    <col min="7940" max="7941" width="14.5555555555556" customWidth="1"/>
    <col min="7942" max="7942" width="31.3333333333333" customWidth="1"/>
    <col min="7943" max="8192" width="8" customWidth="1"/>
    <col min="8193" max="8193" width="14.5555555555556" customWidth="1"/>
    <col min="8194" max="8194" width="5.77777777777778" customWidth="1"/>
    <col min="8195" max="8195" width="20.3333333333333" customWidth="1"/>
    <col min="8196" max="8197" width="14.5555555555556" customWidth="1"/>
    <col min="8198" max="8198" width="31.3333333333333" customWidth="1"/>
    <col min="8199" max="8448" width="8" customWidth="1"/>
    <col min="8449" max="8449" width="14.5555555555556" customWidth="1"/>
    <col min="8450" max="8450" width="5.77777777777778" customWidth="1"/>
    <col min="8451" max="8451" width="20.3333333333333" customWidth="1"/>
    <col min="8452" max="8453" width="14.5555555555556" customWidth="1"/>
    <col min="8454" max="8454" width="31.3333333333333" customWidth="1"/>
    <col min="8455" max="8704" width="8" customWidth="1"/>
    <col min="8705" max="8705" width="14.5555555555556" customWidth="1"/>
    <col min="8706" max="8706" width="5.77777777777778" customWidth="1"/>
    <col min="8707" max="8707" width="20.3333333333333" customWidth="1"/>
    <col min="8708" max="8709" width="14.5555555555556" customWidth="1"/>
    <col min="8710" max="8710" width="31.3333333333333" customWidth="1"/>
    <col min="8711" max="8960" width="8" customWidth="1"/>
    <col min="8961" max="8961" width="14.5555555555556" customWidth="1"/>
    <col min="8962" max="8962" width="5.77777777777778" customWidth="1"/>
    <col min="8963" max="8963" width="20.3333333333333" customWidth="1"/>
    <col min="8964" max="8965" width="14.5555555555556" customWidth="1"/>
    <col min="8966" max="8966" width="31.3333333333333" customWidth="1"/>
    <col min="8967" max="9216" width="8" customWidth="1"/>
    <col min="9217" max="9217" width="14.5555555555556" customWidth="1"/>
    <col min="9218" max="9218" width="5.77777777777778" customWidth="1"/>
    <col min="9219" max="9219" width="20.3333333333333" customWidth="1"/>
    <col min="9220" max="9221" width="14.5555555555556" customWidth="1"/>
    <col min="9222" max="9222" width="31.3333333333333" customWidth="1"/>
    <col min="9223" max="9472" width="8" customWidth="1"/>
    <col min="9473" max="9473" width="14.5555555555556" customWidth="1"/>
    <col min="9474" max="9474" width="5.77777777777778" customWidth="1"/>
    <col min="9475" max="9475" width="20.3333333333333" customWidth="1"/>
    <col min="9476" max="9477" width="14.5555555555556" customWidth="1"/>
    <col min="9478" max="9478" width="31.3333333333333" customWidth="1"/>
    <col min="9479" max="9728" width="8" customWidth="1"/>
    <col min="9729" max="9729" width="14.5555555555556" customWidth="1"/>
    <col min="9730" max="9730" width="5.77777777777778" customWidth="1"/>
    <col min="9731" max="9731" width="20.3333333333333" customWidth="1"/>
    <col min="9732" max="9733" width="14.5555555555556" customWidth="1"/>
    <col min="9734" max="9734" width="31.3333333333333" customWidth="1"/>
    <col min="9735" max="9984" width="8" customWidth="1"/>
    <col min="9985" max="9985" width="14.5555555555556" customWidth="1"/>
    <col min="9986" max="9986" width="5.77777777777778" customWidth="1"/>
    <col min="9987" max="9987" width="20.3333333333333" customWidth="1"/>
    <col min="9988" max="9989" width="14.5555555555556" customWidth="1"/>
    <col min="9990" max="9990" width="31.3333333333333" customWidth="1"/>
    <col min="9991" max="10240" width="8" customWidth="1"/>
    <col min="10241" max="10241" width="14.5555555555556" customWidth="1"/>
    <col min="10242" max="10242" width="5.77777777777778" customWidth="1"/>
    <col min="10243" max="10243" width="20.3333333333333" customWidth="1"/>
    <col min="10244" max="10245" width="14.5555555555556" customWidth="1"/>
    <col min="10246" max="10246" width="31.3333333333333" customWidth="1"/>
    <col min="10247" max="10496" width="8" customWidth="1"/>
    <col min="10497" max="10497" width="14.5555555555556" customWidth="1"/>
    <col min="10498" max="10498" width="5.77777777777778" customWidth="1"/>
    <col min="10499" max="10499" width="20.3333333333333" customWidth="1"/>
    <col min="10500" max="10501" width="14.5555555555556" customWidth="1"/>
    <col min="10502" max="10502" width="31.3333333333333" customWidth="1"/>
    <col min="10503" max="10752" width="8" customWidth="1"/>
    <col min="10753" max="10753" width="14.5555555555556" customWidth="1"/>
    <col min="10754" max="10754" width="5.77777777777778" customWidth="1"/>
    <col min="10755" max="10755" width="20.3333333333333" customWidth="1"/>
    <col min="10756" max="10757" width="14.5555555555556" customWidth="1"/>
    <col min="10758" max="10758" width="31.3333333333333" customWidth="1"/>
    <col min="10759" max="11008" width="8" customWidth="1"/>
    <col min="11009" max="11009" width="14.5555555555556" customWidth="1"/>
    <col min="11010" max="11010" width="5.77777777777778" customWidth="1"/>
    <col min="11011" max="11011" width="20.3333333333333" customWidth="1"/>
    <col min="11012" max="11013" width="14.5555555555556" customWidth="1"/>
    <col min="11014" max="11014" width="31.3333333333333" customWidth="1"/>
    <col min="11015" max="11264" width="8" customWidth="1"/>
    <col min="11265" max="11265" width="14.5555555555556" customWidth="1"/>
    <col min="11266" max="11266" width="5.77777777777778" customWidth="1"/>
    <col min="11267" max="11267" width="20.3333333333333" customWidth="1"/>
    <col min="11268" max="11269" width="14.5555555555556" customWidth="1"/>
    <col min="11270" max="11270" width="31.3333333333333" customWidth="1"/>
    <col min="11271" max="11520" width="8" customWidth="1"/>
    <col min="11521" max="11521" width="14.5555555555556" customWidth="1"/>
    <col min="11522" max="11522" width="5.77777777777778" customWidth="1"/>
    <col min="11523" max="11523" width="20.3333333333333" customWidth="1"/>
    <col min="11524" max="11525" width="14.5555555555556" customWidth="1"/>
    <col min="11526" max="11526" width="31.3333333333333" customWidth="1"/>
    <col min="11527" max="11776" width="8" customWidth="1"/>
    <col min="11777" max="11777" width="14.5555555555556" customWidth="1"/>
    <col min="11778" max="11778" width="5.77777777777778" customWidth="1"/>
    <col min="11779" max="11779" width="20.3333333333333" customWidth="1"/>
    <col min="11780" max="11781" width="14.5555555555556" customWidth="1"/>
    <col min="11782" max="11782" width="31.3333333333333" customWidth="1"/>
    <col min="11783" max="12032" width="8" customWidth="1"/>
    <col min="12033" max="12033" width="14.5555555555556" customWidth="1"/>
    <col min="12034" max="12034" width="5.77777777777778" customWidth="1"/>
    <col min="12035" max="12035" width="20.3333333333333" customWidth="1"/>
    <col min="12036" max="12037" width="14.5555555555556" customWidth="1"/>
    <col min="12038" max="12038" width="31.3333333333333" customWidth="1"/>
    <col min="12039" max="12288" width="8" customWidth="1"/>
    <col min="12289" max="12289" width="14.5555555555556" customWidth="1"/>
    <col min="12290" max="12290" width="5.77777777777778" customWidth="1"/>
    <col min="12291" max="12291" width="20.3333333333333" customWidth="1"/>
    <col min="12292" max="12293" width="14.5555555555556" customWidth="1"/>
    <col min="12294" max="12294" width="31.3333333333333" customWidth="1"/>
    <col min="12295" max="12544" width="8" customWidth="1"/>
    <col min="12545" max="12545" width="14.5555555555556" customWidth="1"/>
    <col min="12546" max="12546" width="5.77777777777778" customWidth="1"/>
    <col min="12547" max="12547" width="20.3333333333333" customWidth="1"/>
    <col min="12548" max="12549" width="14.5555555555556" customWidth="1"/>
    <col min="12550" max="12550" width="31.3333333333333" customWidth="1"/>
    <col min="12551" max="12800" width="8" customWidth="1"/>
    <col min="12801" max="12801" width="14.5555555555556" customWidth="1"/>
    <col min="12802" max="12802" width="5.77777777777778" customWidth="1"/>
    <col min="12803" max="12803" width="20.3333333333333" customWidth="1"/>
    <col min="12804" max="12805" width="14.5555555555556" customWidth="1"/>
    <col min="12806" max="12806" width="31.3333333333333" customWidth="1"/>
    <col min="12807" max="13056" width="8" customWidth="1"/>
    <col min="13057" max="13057" width="14.5555555555556" customWidth="1"/>
    <col min="13058" max="13058" width="5.77777777777778" customWidth="1"/>
    <col min="13059" max="13059" width="20.3333333333333" customWidth="1"/>
    <col min="13060" max="13061" width="14.5555555555556" customWidth="1"/>
    <col min="13062" max="13062" width="31.3333333333333" customWidth="1"/>
    <col min="13063" max="13312" width="8" customWidth="1"/>
    <col min="13313" max="13313" width="14.5555555555556" customWidth="1"/>
    <col min="13314" max="13314" width="5.77777777777778" customWidth="1"/>
    <col min="13315" max="13315" width="20.3333333333333" customWidth="1"/>
    <col min="13316" max="13317" width="14.5555555555556" customWidth="1"/>
    <col min="13318" max="13318" width="31.3333333333333" customWidth="1"/>
    <col min="13319" max="13568" width="8" customWidth="1"/>
    <col min="13569" max="13569" width="14.5555555555556" customWidth="1"/>
    <col min="13570" max="13570" width="5.77777777777778" customWidth="1"/>
    <col min="13571" max="13571" width="20.3333333333333" customWidth="1"/>
    <col min="13572" max="13573" width="14.5555555555556" customWidth="1"/>
    <col min="13574" max="13574" width="31.3333333333333" customWidth="1"/>
    <col min="13575" max="13824" width="8" customWidth="1"/>
    <col min="13825" max="13825" width="14.5555555555556" customWidth="1"/>
    <col min="13826" max="13826" width="5.77777777777778" customWidth="1"/>
    <col min="13827" max="13827" width="20.3333333333333" customWidth="1"/>
    <col min="13828" max="13829" width="14.5555555555556" customWidth="1"/>
    <col min="13830" max="13830" width="31.3333333333333" customWidth="1"/>
    <col min="13831" max="14080" width="8" customWidth="1"/>
    <col min="14081" max="14081" width="14.5555555555556" customWidth="1"/>
    <col min="14082" max="14082" width="5.77777777777778" customWidth="1"/>
    <col min="14083" max="14083" width="20.3333333333333" customWidth="1"/>
    <col min="14084" max="14085" width="14.5555555555556" customWidth="1"/>
    <col min="14086" max="14086" width="31.3333333333333" customWidth="1"/>
    <col min="14087" max="14336" width="8" customWidth="1"/>
    <col min="14337" max="14337" width="14.5555555555556" customWidth="1"/>
    <col min="14338" max="14338" width="5.77777777777778" customWidth="1"/>
    <col min="14339" max="14339" width="20.3333333333333" customWidth="1"/>
    <col min="14340" max="14341" width="14.5555555555556" customWidth="1"/>
    <col min="14342" max="14342" width="31.3333333333333" customWidth="1"/>
    <col min="14343" max="14592" width="8" customWidth="1"/>
    <col min="14593" max="14593" width="14.5555555555556" customWidth="1"/>
    <col min="14594" max="14594" width="5.77777777777778" customWidth="1"/>
    <col min="14595" max="14595" width="20.3333333333333" customWidth="1"/>
    <col min="14596" max="14597" width="14.5555555555556" customWidth="1"/>
    <col min="14598" max="14598" width="31.3333333333333" customWidth="1"/>
    <col min="14599" max="14848" width="8" customWidth="1"/>
    <col min="14849" max="14849" width="14.5555555555556" customWidth="1"/>
    <col min="14850" max="14850" width="5.77777777777778" customWidth="1"/>
    <col min="14851" max="14851" width="20.3333333333333" customWidth="1"/>
    <col min="14852" max="14853" width="14.5555555555556" customWidth="1"/>
    <col min="14854" max="14854" width="31.3333333333333" customWidth="1"/>
    <col min="14855" max="15104" width="8" customWidth="1"/>
    <col min="15105" max="15105" width="14.5555555555556" customWidth="1"/>
    <col min="15106" max="15106" width="5.77777777777778" customWidth="1"/>
    <col min="15107" max="15107" width="20.3333333333333" customWidth="1"/>
    <col min="15108" max="15109" width="14.5555555555556" customWidth="1"/>
    <col min="15110" max="15110" width="31.3333333333333" customWidth="1"/>
    <col min="15111" max="15360" width="8" customWidth="1"/>
    <col min="15361" max="15361" width="14.5555555555556" customWidth="1"/>
    <col min="15362" max="15362" width="5.77777777777778" customWidth="1"/>
    <col min="15363" max="15363" width="20.3333333333333" customWidth="1"/>
    <col min="15364" max="15365" width="14.5555555555556" customWidth="1"/>
    <col min="15366" max="15366" width="31.3333333333333" customWidth="1"/>
    <col min="15367" max="15616" width="8" customWidth="1"/>
    <col min="15617" max="15617" width="14.5555555555556" customWidth="1"/>
    <col min="15618" max="15618" width="5.77777777777778" customWidth="1"/>
    <col min="15619" max="15619" width="20.3333333333333" customWidth="1"/>
    <col min="15620" max="15621" width="14.5555555555556" customWidth="1"/>
    <col min="15622" max="15622" width="31.3333333333333" customWidth="1"/>
    <col min="15623" max="15872" width="8" customWidth="1"/>
    <col min="15873" max="15873" width="14.5555555555556" customWidth="1"/>
    <col min="15874" max="15874" width="5.77777777777778" customWidth="1"/>
    <col min="15875" max="15875" width="20.3333333333333" customWidth="1"/>
    <col min="15876" max="15877" width="14.5555555555556" customWidth="1"/>
    <col min="15878" max="15878" width="31.3333333333333" customWidth="1"/>
    <col min="15879" max="16128" width="8" customWidth="1"/>
    <col min="16129" max="16129" width="14.5555555555556" customWidth="1"/>
    <col min="16130" max="16130" width="5.77777777777778" customWidth="1"/>
    <col min="16131" max="16131" width="20.3333333333333" customWidth="1"/>
    <col min="16132" max="16133" width="14.5555555555556" customWidth="1"/>
    <col min="16134" max="16134" width="31.3333333333333" customWidth="1"/>
    <col min="16135" max="16384" width="8" customWidth="1"/>
  </cols>
  <sheetData>
    <row r="1" spans="1:6">
      <c r="A1" s="54" t="s">
        <v>118</v>
      </c>
      <c r="B1" s="54"/>
      <c r="C1" s="54"/>
      <c r="D1" s="54"/>
      <c r="E1" s="54"/>
      <c r="F1" s="54"/>
    </row>
    <row r="2" ht="15.6" spans="1:6">
      <c r="A2" s="55" t="s">
        <v>187</v>
      </c>
      <c r="B2" s="55"/>
      <c r="C2" s="55"/>
      <c r="D2" s="55"/>
      <c r="E2" s="55"/>
      <c r="F2" s="55"/>
    </row>
    <row r="3" ht="15.6" spans="10:15">
      <c r="J3" s="55" t="s">
        <v>188</v>
      </c>
      <c r="K3" s="55"/>
      <c r="L3" s="55"/>
      <c r="M3" s="55"/>
      <c r="N3" s="55"/>
      <c r="O3" s="55"/>
    </row>
    <row r="4" ht="28.8" spans="1:6">
      <c r="A4" s="56" t="s">
        <v>120</v>
      </c>
      <c r="B4" s="56" t="s">
        <v>121</v>
      </c>
      <c r="C4" s="56"/>
      <c r="D4" s="56"/>
      <c r="E4" s="56"/>
      <c r="F4" s="56"/>
    </row>
    <row r="5" ht="28.8" spans="10:15">
      <c r="J5" s="56" t="s">
        <v>120</v>
      </c>
      <c r="K5" s="56" t="s">
        <v>121</v>
      </c>
      <c r="L5" s="56"/>
      <c r="M5" s="56"/>
      <c r="N5" s="56"/>
      <c r="O5" s="56"/>
    </row>
    <row r="6" spans="1:5">
      <c r="A6" s="57" t="s">
        <v>189</v>
      </c>
      <c r="B6" s="57"/>
      <c r="C6" s="57" t="s">
        <v>190</v>
      </c>
      <c r="D6" s="57" t="s">
        <v>126</v>
      </c>
      <c r="E6" s="57" t="s">
        <v>127</v>
      </c>
    </row>
    <row r="7" spans="1:14">
      <c r="A7" s="58" t="s">
        <v>191</v>
      </c>
      <c r="B7" s="58"/>
      <c r="C7" s="57" t="s">
        <v>192</v>
      </c>
      <c r="D7" s="59"/>
      <c r="E7" s="59"/>
      <c r="J7" s="57" t="s">
        <v>189</v>
      </c>
      <c r="K7" s="57"/>
      <c r="L7" s="57" t="s">
        <v>190</v>
      </c>
      <c r="M7" s="57" t="s">
        <v>126</v>
      </c>
      <c r="N7" s="57" t="s">
        <v>127</v>
      </c>
    </row>
    <row r="8" ht="22.8" outlineLevel="1" spans="1:14">
      <c r="A8" s="60"/>
      <c r="B8" s="61"/>
      <c r="C8" s="62" t="s">
        <v>193</v>
      </c>
      <c r="D8" s="63">
        <v>138583150.04</v>
      </c>
      <c r="E8" s="64"/>
      <c r="J8" s="58" t="s">
        <v>191</v>
      </c>
      <c r="K8" s="58"/>
      <c r="L8" s="57" t="s">
        <v>192</v>
      </c>
      <c r="M8" s="59"/>
      <c r="N8" s="59"/>
    </row>
    <row r="9" outlineLevel="1" spans="1:15">
      <c r="A9" s="65"/>
      <c r="B9" s="66"/>
      <c r="C9" s="67" t="s">
        <v>194</v>
      </c>
      <c r="D9" s="68"/>
      <c r="E9" s="69">
        <v>241529395.95</v>
      </c>
      <c r="F9" s="70">
        <f>E9/1000</f>
        <v>241529.39595</v>
      </c>
      <c r="J9" s="60"/>
      <c r="K9" s="61"/>
      <c r="L9" s="62" t="s">
        <v>193</v>
      </c>
      <c r="M9" s="83">
        <v>-21627682.36</v>
      </c>
      <c r="N9" s="64"/>
      <c r="O9" s="70">
        <f>M9/1000</f>
        <v>-21627.68236</v>
      </c>
    </row>
    <row r="10" outlineLevel="1" spans="1:17">
      <c r="A10" s="65"/>
      <c r="B10" s="66"/>
      <c r="C10" s="67" t="s">
        <v>195</v>
      </c>
      <c r="D10" s="68"/>
      <c r="E10" s="69">
        <v>256085769.72</v>
      </c>
      <c r="J10" s="65"/>
      <c r="K10" s="66"/>
      <c r="L10" s="67" t="s">
        <v>194</v>
      </c>
      <c r="M10" s="68"/>
      <c r="N10" s="69">
        <v>48644004.89</v>
      </c>
      <c r="Q10" s="92">
        <f>N10+N11+N12-M13-M14-M15-M16</f>
        <v>-21627682.36</v>
      </c>
    </row>
    <row r="11" outlineLevel="1" spans="1:15">
      <c r="A11" s="65"/>
      <c r="B11" s="66"/>
      <c r="C11" s="67" t="s">
        <v>196</v>
      </c>
      <c r="D11" s="68"/>
      <c r="E11" s="69">
        <v>63509941.99</v>
      </c>
      <c r="F11" s="71">
        <f>(E11+E13-D20-D22)/1000</f>
        <v>17829.00506</v>
      </c>
      <c r="J11" s="65"/>
      <c r="K11" s="66"/>
      <c r="L11" s="84" t="s">
        <v>195</v>
      </c>
      <c r="M11" s="85"/>
      <c r="N11" s="86">
        <v>55684835.09</v>
      </c>
      <c r="O11" s="87">
        <f>N11/1000</f>
        <v>55684.83509</v>
      </c>
    </row>
    <row r="12" outlineLevel="1" spans="1:16">
      <c r="A12" s="65"/>
      <c r="B12" s="66"/>
      <c r="C12" s="67" t="s">
        <v>197</v>
      </c>
      <c r="D12" s="68"/>
      <c r="E12" s="69">
        <v>963321.08</v>
      </c>
      <c r="F12" s="71">
        <f>(E10+E12)/1000</f>
        <v>257049.0908</v>
      </c>
      <c r="J12" s="65"/>
      <c r="K12" s="66"/>
      <c r="L12" s="88" t="s">
        <v>198</v>
      </c>
      <c r="M12" s="89"/>
      <c r="N12" s="90">
        <v>8006686.77</v>
      </c>
      <c r="O12" s="91">
        <f>(N12-M15)/1000</f>
        <v>-30018.12323</v>
      </c>
      <c r="P12" s="92">
        <f>N12-M15</f>
        <v>-30018123.23</v>
      </c>
    </row>
    <row r="13" outlineLevel="1" spans="1:15">
      <c r="A13" s="65"/>
      <c r="B13" s="66"/>
      <c r="C13" s="67" t="s">
        <v>199</v>
      </c>
      <c r="D13" s="68"/>
      <c r="E13" s="69">
        <v>2092403.47</v>
      </c>
      <c r="J13" s="65"/>
      <c r="K13" s="66"/>
      <c r="L13" s="84" t="s">
        <v>200</v>
      </c>
      <c r="M13" s="86">
        <v>52472947.45</v>
      </c>
      <c r="N13" s="85"/>
      <c r="O13" s="87">
        <f>M13/1000</f>
        <v>52472.94745</v>
      </c>
    </row>
    <row r="14" outlineLevel="1" spans="1:15">
      <c r="A14" s="65"/>
      <c r="B14" s="66"/>
      <c r="C14" s="72" t="s">
        <v>198</v>
      </c>
      <c r="D14" s="73"/>
      <c r="E14" s="74">
        <v>45495979.08</v>
      </c>
      <c r="F14" s="71" t="e">
        <f>(E14+#REF!-D21)/1000</f>
        <v>#REF!</v>
      </c>
      <c r="J14" s="65"/>
      <c r="K14" s="66"/>
      <c r="L14" s="84" t="s">
        <v>201</v>
      </c>
      <c r="M14" s="86">
        <v>51419178.08</v>
      </c>
      <c r="N14" s="85"/>
      <c r="O14" s="87">
        <f>M14/1000</f>
        <v>51419.17808</v>
      </c>
    </row>
    <row r="15" outlineLevel="1" spans="1:14">
      <c r="A15" s="65"/>
      <c r="B15" s="66"/>
      <c r="C15" s="72" t="s">
        <v>202</v>
      </c>
      <c r="D15" s="73"/>
      <c r="E15" s="75">
        <v>0.68</v>
      </c>
      <c r="J15" s="65"/>
      <c r="K15" s="66"/>
      <c r="L15" s="88" t="s">
        <v>203</v>
      </c>
      <c r="M15" s="90">
        <v>38024810</v>
      </c>
      <c r="N15" s="89"/>
    </row>
    <row r="16" outlineLevel="1" spans="1:14">
      <c r="A16" s="65"/>
      <c r="B16" s="66"/>
      <c r="C16" s="67" t="s">
        <v>200</v>
      </c>
      <c r="D16" s="69">
        <v>138670885.18</v>
      </c>
      <c r="E16" s="68"/>
      <c r="F16" s="71">
        <f>SUM(D16:D17)/1000</f>
        <v>134514.41265</v>
      </c>
      <c r="J16" s="77"/>
      <c r="K16" s="78"/>
      <c r="L16" s="93" t="s">
        <v>204</v>
      </c>
      <c r="M16" s="94">
        <v>-7953726.42</v>
      </c>
      <c r="N16" s="95"/>
    </row>
    <row r="17" outlineLevel="1" spans="1:14">
      <c r="A17" s="65"/>
      <c r="B17" s="66"/>
      <c r="C17" s="67" t="s">
        <v>205</v>
      </c>
      <c r="D17" s="76">
        <v>-4156472.53</v>
      </c>
      <c r="E17" s="68"/>
      <c r="J17" s="58"/>
      <c r="K17" s="58"/>
      <c r="L17" s="57" t="s">
        <v>206</v>
      </c>
      <c r="M17" s="82">
        <v>112335526.75</v>
      </c>
      <c r="N17" s="82">
        <v>112335526.75</v>
      </c>
    </row>
    <row r="18" ht="22.8" outlineLevel="1" spans="1:14">
      <c r="A18" s="65"/>
      <c r="B18" s="66"/>
      <c r="C18" s="67" t="s">
        <v>201</v>
      </c>
      <c r="D18" s="69">
        <v>241017973.85</v>
      </c>
      <c r="E18" s="68"/>
      <c r="J18" s="58"/>
      <c r="K18" s="58"/>
      <c r="L18" s="57" t="s">
        <v>207</v>
      </c>
      <c r="M18" s="59"/>
      <c r="N18" s="59"/>
    </row>
    <row r="19" outlineLevel="1" spans="1:6">
      <c r="A19" s="65"/>
      <c r="B19" s="66"/>
      <c r="C19" s="67" t="s">
        <v>208</v>
      </c>
      <c r="D19" s="69">
        <v>10031407.82</v>
      </c>
      <c r="E19" s="68"/>
      <c r="F19" s="70">
        <f>SUM(D18:D19)/1000</f>
        <v>251049.38167</v>
      </c>
    </row>
    <row r="20" outlineLevel="1" spans="1:5">
      <c r="A20" s="65"/>
      <c r="B20" s="66"/>
      <c r="C20" s="67" t="s">
        <v>209</v>
      </c>
      <c r="D20" s="69">
        <v>13746013.5</v>
      </c>
      <c r="E20" s="68"/>
    </row>
    <row r="21" outlineLevel="1" spans="1:5">
      <c r="A21" s="65"/>
      <c r="B21" s="66"/>
      <c r="C21" s="72" t="s">
        <v>203</v>
      </c>
      <c r="D21" s="74">
        <v>65591670.49</v>
      </c>
      <c r="E21" s="73"/>
    </row>
    <row r="22" outlineLevel="1" spans="1:5">
      <c r="A22" s="65"/>
      <c r="B22" s="66"/>
      <c r="C22" s="67" t="s">
        <v>210</v>
      </c>
      <c r="D22" s="69">
        <v>34027326.9</v>
      </c>
      <c r="E22" s="68"/>
    </row>
    <row r="23" outlineLevel="1" spans="1:5">
      <c r="A23" s="65"/>
      <c r="B23" s="66"/>
      <c r="C23" s="72" t="s">
        <v>211</v>
      </c>
      <c r="D23" s="75">
        <v>0.31</v>
      </c>
      <c r="E23" s="73"/>
    </row>
    <row r="24" outlineLevel="1" spans="1:5">
      <c r="A24" s="77"/>
      <c r="B24" s="78"/>
      <c r="C24" s="79" t="s">
        <v>204</v>
      </c>
      <c r="D24" s="80">
        <v>-12155854.84</v>
      </c>
      <c r="E24" s="81"/>
    </row>
    <row r="25" outlineLevel="1" spans="1:5">
      <c r="A25" s="58"/>
      <c r="B25" s="58"/>
      <c r="C25" s="57" t="s">
        <v>206</v>
      </c>
      <c r="D25" s="82">
        <v>603240100.72</v>
      </c>
      <c r="E25" s="82">
        <v>603240100.72</v>
      </c>
    </row>
    <row r="26" spans="1:5">
      <c r="A26" s="58"/>
      <c r="B26" s="58"/>
      <c r="C26" s="57" t="s">
        <v>207</v>
      </c>
      <c r="D26" s="59"/>
      <c r="E26" s="59"/>
    </row>
  </sheetData>
  <mergeCells count="9">
    <mergeCell ref="A1:F1"/>
    <mergeCell ref="A2:F2"/>
    <mergeCell ref="J3:O3"/>
    <mergeCell ref="B4:F4"/>
    <mergeCell ref="K5:O5"/>
    <mergeCell ref="A6:B6"/>
    <mergeCell ref="A7:B7"/>
    <mergeCell ref="J7:K7"/>
    <mergeCell ref="J8:K8"/>
  </mergeCells>
  <pageMargins left="0.7" right="0.7" top="0.75" bottom="0.75" header="0.3" footer="0.3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AK69"/>
  <sheetViews>
    <sheetView workbookViewId="0">
      <selection activeCell="C61" sqref="C61"/>
    </sheetView>
  </sheetViews>
  <sheetFormatPr defaultColWidth="9" defaultRowHeight="14.4"/>
  <cols>
    <col min="1" max="1" width="8.88888888888889" style="1"/>
    <col min="2" max="2" width="62.8888888888889" style="1" customWidth="1"/>
    <col min="3" max="3" width="22.4444444444444" style="1" customWidth="1"/>
    <col min="4" max="4" width="23.2222222222222" style="1" hidden="1" customWidth="1"/>
    <col min="5" max="5" width="13.4444444444444" style="1" hidden="1" customWidth="1"/>
    <col min="6" max="6" width="12.4444444444444" style="1" hidden="1" customWidth="1"/>
    <col min="7" max="7" width="15.5555555555556" style="1" hidden="1" customWidth="1"/>
    <col min="8" max="8" width="10.4444444444444" style="1" hidden="1" customWidth="1"/>
    <col min="9" max="9" width="8.88888888888889" style="1" hidden="1" customWidth="1"/>
    <col min="10" max="10" width="11.4444444444444" style="1" hidden="1" customWidth="1"/>
    <col min="11" max="12" width="8.88888888888889" style="1" hidden="1" customWidth="1"/>
    <col min="13" max="13" width="22.1111111111111" style="1" hidden="1" customWidth="1"/>
    <col min="14" max="14" width="14.7777777777778" style="1" hidden="1" customWidth="1"/>
    <col min="15" max="19" width="8.88888888888889" style="1" hidden="1" customWidth="1"/>
    <col min="20" max="20" width="11.6666666666667" style="1" hidden="1" customWidth="1"/>
    <col min="21" max="22" width="8.88888888888889" style="1" customWidth="1"/>
    <col min="23" max="24" width="13" style="1" customWidth="1"/>
    <col min="25" max="34" width="8.88888888888889" style="1" customWidth="1"/>
    <col min="35" max="16384" width="8.88888888888889" style="1"/>
  </cols>
  <sheetData>
    <row r="1" spans="2:2">
      <c r="B1" s="2" t="s">
        <v>212</v>
      </c>
    </row>
    <row r="3" ht="15.15" spans="2:4">
      <c r="B3" s="3" t="s">
        <v>2</v>
      </c>
      <c r="C3" s="4" t="s">
        <v>213</v>
      </c>
      <c r="D3" s="5" t="s">
        <v>214</v>
      </c>
    </row>
    <row r="4" spans="2:4">
      <c r="B4" s="3" t="s">
        <v>215</v>
      </c>
      <c r="C4" s="6"/>
      <c r="D4" s="7"/>
    </row>
    <row r="5" customHeight="1" spans="2:17">
      <c r="B5" s="8" t="s">
        <v>216</v>
      </c>
      <c r="C5" s="9">
        <v>59491</v>
      </c>
      <c r="D5" s="10"/>
      <c r="E5" s="11"/>
      <c r="I5" s="32" t="s">
        <v>189</v>
      </c>
      <c r="J5" s="32"/>
      <c r="K5" s="32" t="s">
        <v>123</v>
      </c>
      <c r="L5" s="32"/>
      <c r="M5" s="32" t="s">
        <v>124</v>
      </c>
      <c r="N5" s="32"/>
      <c r="O5" s="32" t="s">
        <v>125</v>
      </c>
      <c r="P5" s="32"/>
      <c r="Q5" s="32"/>
    </row>
    <row r="6" ht="15.6" customHeight="1" spans="2:37">
      <c r="B6" s="8" t="s">
        <v>217</v>
      </c>
      <c r="C6" s="9">
        <f>180489-102</f>
        <v>180387</v>
      </c>
      <c r="D6" s="12"/>
      <c r="E6" s="11"/>
      <c r="I6" s="32" t="s">
        <v>218</v>
      </c>
      <c r="J6" s="32"/>
      <c r="K6" s="33" t="s">
        <v>126</v>
      </c>
      <c r="L6" s="33" t="s">
        <v>127</v>
      </c>
      <c r="M6" s="33" t="s">
        <v>126</v>
      </c>
      <c r="N6" s="33" t="s">
        <v>127</v>
      </c>
      <c r="O6" s="33" t="s">
        <v>126</v>
      </c>
      <c r="P6" s="33" t="s">
        <v>127</v>
      </c>
      <c r="Q6" s="33"/>
      <c r="AK6" s="11"/>
    </row>
    <row r="7" ht="16.8" customHeight="1" spans="2:17">
      <c r="B7" s="13" t="s">
        <v>186</v>
      </c>
      <c r="C7" s="14">
        <f>SUM(C5:C6)</f>
        <v>239878</v>
      </c>
      <c r="D7" s="15">
        <f>SUM(D5:D6)</f>
        <v>0</v>
      </c>
      <c r="I7" s="32" t="s">
        <v>219</v>
      </c>
      <c r="J7" s="32"/>
      <c r="K7" s="34"/>
      <c r="L7" s="34"/>
      <c r="M7" s="34"/>
      <c r="N7" s="34"/>
      <c r="O7" s="34"/>
      <c r="P7" s="35"/>
      <c r="Q7" s="47"/>
    </row>
    <row r="8" ht="16.8" customHeight="1" spans="2:17">
      <c r="B8" s="16"/>
      <c r="C8" s="17"/>
      <c r="D8" s="17"/>
      <c r="I8" s="36"/>
      <c r="J8" s="36"/>
      <c r="K8" s="37"/>
      <c r="L8" s="37"/>
      <c r="M8" s="37"/>
      <c r="N8" s="37"/>
      <c r="O8" s="37"/>
      <c r="P8" s="38"/>
      <c r="Q8" s="48"/>
    </row>
    <row r="9" ht="19" customHeight="1" spans="2:17">
      <c r="B9" s="2" t="s">
        <v>220</v>
      </c>
      <c r="G9" s="18"/>
      <c r="I9" s="39" t="s">
        <v>221</v>
      </c>
      <c r="J9" s="39"/>
      <c r="K9" s="40"/>
      <c r="L9" s="40"/>
      <c r="M9" s="40"/>
      <c r="N9" s="41">
        <v>134514412.65</v>
      </c>
      <c r="O9" s="40"/>
      <c r="P9" s="42"/>
      <c r="Q9" s="49"/>
    </row>
    <row r="10" customHeight="1" spans="9:17">
      <c r="I10" s="39" t="s">
        <v>222</v>
      </c>
      <c r="J10" s="39"/>
      <c r="K10" s="40"/>
      <c r="L10" s="40"/>
      <c r="M10" s="41">
        <v>211324.7</v>
      </c>
      <c r="N10" s="40"/>
      <c r="O10" s="40"/>
      <c r="P10" s="42"/>
      <c r="Q10" s="49"/>
    </row>
    <row r="11" ht="15" customHeight="1" spans="2:17">
      <c r="B11" s="3" t="s">
        <v>2</v>
      </c>
      <c r="C11" s="4" t="s">
        <v>213</v>
      </c>
      <c r="D11" s="19" t="s">
        <v>223</v>
      </c>
      <c r="I11" s="39" t="s">
        <v>224</v>
      </c>
      <c r="J11" s="39"/>
      <c r="K11" s="40"/>
      <c r="L11" s="40"/>
      <c r="M11" s="41">
        <v>63333.33</v>
      </c>
      <c r="N11" s="40"/>
      <c r="O11" s="40"/>
      <c r="P11" s="42"/>
      <c r="Q11" s="49"/>
    </row>
    <row r="12" ht="15.6" customHeight="1" spans="2:20">
      <c r="B12" s="8" t="s">
        <v>225</v>
      </c>
      <c r="C12" s="20">
        <f>91252</f>
        <v>91252</v>
      </c>
      <c r="D12" s="21">
        <v>743</v>
      </c>
      <c r="E12" s="11"/>
      <c r="I12" s="39" t="s">
        <v>226</v>
      </c>
      <c r="J12" s="39"/>
      <c r="K12" s="40"/>
      <c r="L12" s="40"/>
      <c r="M12" s="41">
        <v>3665021.22</v>
      </c>
      <c r="N12" s="40"/>
      <c r="O12" s="40"/>
      <c r="P12" s="42"/>
      <c r="Q12" s="49"/>
      <c r="T12" s="1">
        <v>166</v>
      </c>
    </row>
    <row r="13" ht="15.6" customHeight="1" spans="2:17">
      <c r="B13" s="22" t="s">
        <v>227</v>
      </c>
      <c r="C13" s="20">
        <v>21966</v>
      </c>
      <c r="D13" s="21"/>
      <c r="I13" s="39" t="s">
        <v>228</v>
      </c>
      <c r="J13" s="39"/>
      <c r="K13" s="40"/>
      <c r="L13" s="40"/>
      <c r="M13" s="41">
        <v>4423650.02</v>
      </c>
      <c r="N13" s="40"/>
      <c r="O13" s="40"/>
      <c r="P13" s="42"/>
      <c r="Q13" s="49"/>
    </row>
    <row r="14" ht="15.6" customHeight="1" spans="2:17">
      <c r="B14" s="8" t="s">
        <v>229</v>
      </c>
      <c r="C14" s="20">
        <v>6867</v>
      </c>
      <c r="D14" s="21"/>
      <c r="E14" s="11"/>
      <c r="I14" s="39" t="s">
        <v>230</v>
      </c>
      <c r="J14" s="39"/>
      <c r="K14" s="40"/>
      <c r="L14" s="40"/>
      <c r="M14" s="41">
        <v>12077064</v>
      </c>
      <c r="N14" s="40"/>
      <c r="O14" s="40"/>
      <c r="P14" s="42"/>
      <c r="Q14" s="49"/>
    </row>
    <row r="15" ht="20" customHeight="1" spans="2:17">
      <c r="B15" s="8" t="s">
        <v>231</v>
      </c>
      <c r="C15" s="20">
        <v>1069</v>
      </c>
      <c r="D15" s="21"/>
      <c r="E15" s="11"/>
      <c r="G15" s="11"/>
      <c r="I15" s="39" t="s">
        <v>232</v>
      </c>
      <c r="J15" s="39"/>
      <c r="K15" s="40"/>
      <c r="L15" s="40"/>
      <c r="M15" s="40"/>
      <c r="N15" s="40"/>
      <c r="O15" s="40"/>
      <c r="P15" s="42"/>
      <c r="Q15" s="49"/>
    </row>
    <row r="16" ht="15.6" customHeight="1" spans="2:17">
      <c r="B16" s="8" t="s">
        <v>233</v>
      </c>
      <c r="C16" s="20">
        <v>921</v>
      </c>
      <c r="D16" s="21"/>
      <c r="E16" s="11"/>
      <c r="I16" s="39" t="s">
        <v>234</v>
      </c>
      <c r="J16" s="39"/>
      <c r="K16" s="40"/>
      <c r="L16" s="40"/>
      <c r="M16" s="41">
        <v>757572</v>
      </c>
      <c r="N16" s="40"/>
      <c r="O16" s="40"/>
      <c r="P16" s="42"/>
      <c r="Q16" s="49"/>
    </row>
    <row r="17" ht="15.6" customHeight="1" spans="2:17">
      <c r="B17" s="8" t="s">
        <v>235</v>
      </c>
      <c r="C17" s="20">
        <v>908</v>
      </c>
      <c r="D17" s="21"/>
      <c r="E17" s="11"/>
      <c r="I17" s="39" t="s">
        <v>236</v>
      </c>
      <c r="J17" s="39"/>
      <c r="K17" s="40"/>
      <c r="L17" s="40"/>
      <c r="M17" s="41">
        <v>31591.37</v>
      </c>
      <c r="N17" s="40"/>
      <c r="O17" s="40"/>
      <c r="P17" s="42"/>
      <c r="Q17" s="49"/>
    </row>
    <row r="18" customHeight="1" spans="2:17">
      <c r="B18" s="8" t="s">
        <v>237</v>
      </c>
      <c r="C18" s="23" t="s">
        <v>62</v>
      </c>
      <c r="D18" s="24"/>
      <c r="E18" s="11"/>
      <c r="I18" s="39" t="s">
        <v>238</v>
      </c>
      <c r="J18" s="39"/>
      <c r="K18" s="40"/>
      <c r="L18" s="40"/>
      <c r="M18" s="41">
        <v>30295.65</v>
      </c>
      <c r="N18" s="40"/>
      <c r="O18" s="40"/>
      <c r="P18" s="42"/>
      <c r="Q18" s="49"/>
    </row>
    <row r="19" ht="15.6" customHeight="1" spans="2:17">
      <c r="B19" s="8" t="s">
        <v>230</v>
      </c>
      <c r="C19" s="20">
        <v>12077</v>
      </c>
      <c r="D19" s="21">
        <v>284</v>
      </c>
      <c r="E19" s="11"/>
      <c r="I19" s="39" t="s">
        <v>239</v>
      </c>
      <c r="J19" s="39"/>
      <c r="K19" s="40"/>
      <c r="L19" s="40"/>
      <c r="M19" s="41">
        <v>13138</v>
      </c>
      <c r="N19" s="40"/>
      <c r="O19" s="40"/>
      <c r="P19" s="42"/>
      <c r="Q19" s="49"/>
    </row>
    <row r="20" customHeight="1" spans="2:17">
      <c r="B20" s="8" t="s">
        <v>240</v>
      </c>
      <c r="C20" s="20">
        <v>1878</v>
      </c>
      <c r="D20" s="24"/>
      <c r="E20" s="11"/>
      <c r="I20" s="39" t="s">
        <v>241</v>
      </c>
      <c r="J20" s="39"/>
      <c r="K20" s="40"/>
      <c r="L20" s="40"/>
      <c r="M20" s="41">
        <v>93288.38</v>
      </c>
      <c r="N20" s="40"/>
      <c r="O20" s="40"/>
      <c r="P20" s="42"/>
      <c r="Q20" s="49"/>
    </row>
    <row r="21" customHeight="1" spans="2:17">
      <c r="B21" s="8" t="s">
        <v>242</v>
      </c>
      <c r="C21" s="20">
        <v>758</v>
      </c>
      <c r="D21" s="24"/>
      <c r="E21" s="11"/>
      <c r="I21" s="39" t="s">
        <v>243</v>
      </c>
      <c r="J21" s="39"/>
      <c r="K21" s="40"/>
      <c r="L21" s="40"/>
      <c r="M21" s="41">
        <v>103500</v>
      </c>
      <c r="N21" s="40"/>
      <c r="O21" s="40"/>
      <c r="P21" s="42"/>
      <c r="Q21" s="49"/>
    </row>
    <row r="22" customHeight="1" spans="2:17">
      <c r="B22" s="8" t="s">
        <v>226</v>
      </c>
      <c r="C22" s="20">
        <v>3665</v>
      </c>
      <c r="D22" s="24"/>
      <c r="E22" s="11"/>
      <c r="I22" s="39" t="s">
        <v>244</v>
      </c>
      <c r="J22" s="39"/>
      <c r="K22" s="40"/>
      <c r="L22" s="40"/>
      <c r="M22" s="41">
        <v>180292.86</v>
      </c>
      <c r="N22" s="40"/>
      <c r="O22" s="40"/>
      <c r="P22" s="42"/>
      <c r="Q22" s="49"/>
    </row>
    <row r="23" ht="15.6" customHeight="1" spans="2:17">
      <c r="B23" s="8" t="s">
        <v>228</v>
      </c>
      <c r="C23" s="20">
        <v>4424</v>
      </c>
      <c r="D23" s="21">
        <v>2</v>
      </c>
      <c r="E23" s="11"/>
      <c r="I23" s="39" t="s">
        <v>245</v>
      </c>
      <c r="J23" s="39"/>
      <c r="K23" s="40"/>
      <c r="L23" s="40"/>
      <c r="M23" s="41">
        <v>1878019.14</v>
      </c>
      <c r="N23" s="40"/>
      <c r="O23" s="40"/>
      <c r="P23" s="42"/>
      <c r="Q23" s="49"/>
    </row>
    <row r="24" customHeight="1" spans="2:17">
      <c r="B24" s="8" t="s">
        <v>232</v>
      </c>
      <c r="C24" s="20"/>
      <c r="D24" s="24"/>
      <c r="E24" s="11"/>
      <c r="I24" s="39" t="s">
        <v>246</v>
      </c>
      <c r="J24" s="39"/>
      <c r="K24" s="40"/>
      <c r="L24" s="40"/>
      <c r="M24" s="41">
        <v>375023</v>
      </c>
      <c r="N24" s="40"/>
      <c r="O24" s="40"/>
      <c r="P24" s="42"/>
      <c r="Q24" s="49"/>
    </row>
    <row r="25" customHeight="1" spans="2:17">
      <c r="B25" s="8" t="s">
        <v>247</v>
      </c>
      <c r="C25" s="20">
        <v>180</v>
      </c>
      <c r="D25" s="24"/>
      <c r="E25" s="11"/>
      <c r="I25" s="39" t="s">
        <v>248</v>
      </c>
      <c r="J25" s="39"/>
      <c r="K25" s="40"/>
      <c r="L25" s="40"/>
      <c r="M25" s="41">
        <v>689973.87</v>
      </c>
      <c r="N25" s="40"/>
      <c r="O25" s="40"/>
      <c r="P25" s="42"/>
      <c r="Q25" s="49"/>
    </row>
    <row r="26" customHeight="1" spans="2:17">
      <c r="B26" s="8" t="s">
        <v>249</v>
      </c>
      <c r="C26" s="20">
        <v>489</v>
      </c>
      <c r="D26" s="24"/>
      <c r="E26" s="11"/>
      <c r="I26" s="39" t="s">
        <v>250</v>
      </c>
      <c r="J26" s="39"/>
      <c r="K26" s="40"/>
      <c r="L26" s="40"/>
      <c r="M26" s="41">
        <v>1068748</v>
      </c>
      <c r="N26" s="40"/>
      <c r="O26" s="40"/>
      <c r="P26" s="42"/>
      <c r="Q26" s="49"/>
    </row>
    <row r="27" customHeight="1" spans="2:17">
      <c r="B27" s="8" t="s">
        <v>251</v>
      </c>
      <c r="C27" s="20">
        <v>1307</v>
      </c>
      <c r="D27" s="24"/>
      <c r="E27" s="11"/>
      <c r="I27" s="39" t="s">
        <v>252</v>
      </c>
      <c r="J27" s="39"/>
      <c r="K27" s="40"/>
      <c r="L27" s="40"/>
      <c r="M27" s="41">
        <v>97774.13</v>
      </c>
      <c r="N27" s="40"/>
      <c r="O27" s="40"/>
      <c r="P27" s="42"/>
      <c r="Q27" s="49"/>
    </row>
    <row r="28" customHeight="1" spans="2:17">
      <c r="B28" s="8" t="s">
        <v>224</v>
      </c>
      <c r="C28" s="20">
        <v>1031</v>
      </c>
      <c r="D28" s="24"/>
      <c r="E28" s="11"/>
      <c r="I28" s="39" t="s">
        <v>253</v>
      </c>
      <c r="J28" s="39"/>
      <c r="K28" s="40"/>
      <c r="L28" s="40"/>
      <c r="M28" s="41">
        <v>1648.15</v>
      </c>
      <c r="N28" s="40"/>
      <c r="O28" s="40"/>
      <c r="P28" s="42"/>
      <c r="Q28" s="49"/>
    </row>
    <row r="29" customHeight="1" spans="2:17">
      <c r="B29" s="8" t="s">
        <v>254</v>
      </c>
      <c r="C29" s="20">
        <v>1911</v>
      </c>
      <c r="D29" s="24"/>
      <c r="E29" s="11"/>
      <c r="I29" s="39" t="s">
        <v>255</v>
      </c>
      <c r="J29" s="39"/>
      <c r="K29" s="40"/>
      <c r="L29" s="40"/>
      <c r="M29" s="41">
        <v>488645.53</v>
      </c>
      <c r="N29" s="40"/>
      <c r="O29" s="40"/>
      <c r="P29" s="42"/>
      <c r="Q29" s="49"/>
    </row>
    <row r="30" ht="16.2" customHeight="1" spans="2:17">
      <c r="B30" s="8" t="s">
        <v>243</v>
      </c>
      <c r="C30" s="20">
        <v>753</v>
      </c>
      <c r="D30" s="24"/>
      <c r="E30" s="11"/>
      <c r="I30" s="39" t="s">
        <v>256</v>
      </c>
      <c r="J30" s="39"/>
      <c r="K30" s="40"/>
      <c r="L30" s="40"/>
      <c r="M30" s="41">
        <v>407568</v>
      </c>
      <c r="N30" s="40"/>
      <c r="O30" s="40"/>
      <c r="P30" s="42"/>
      <c r="Q30" s="49"/>
    </row>
    <row r="31" ht="15.6" customHeight="1" spans="2:17">
      <c r="B31" s="8" t="s">
        <v>246</v>
      </c>
      <c r="C31" s="20">
        <v>375</v>
      </c>
      <c r="D31" s="15">
        <v>1097</v>
      </c>
      <c r="E31" s="11"/>
      <c r="G31" s="11"/>
      <c r="I31" s="39" t="s">
        <v>257</v>
      </c>
      <c r="J31" s="39"/>
      <c r="K31" s="40"/>
      <c r="L31" s="40"/>
      <c r="M31" s="41">
        <v>756301.37</v>
      </c>
      <c r="N31" s="40"/>
      <c r="O31" s="40"/>
      <c r="P31" s="42"/>
      <c r="Q31" s="49"/>
    </row>
    <row r="32" ht="15.6" customHeight="1" spans="2:17">
      <c r="B32" s="8" t="s">
        <v>258</v>
      </c>
      <c r="C32" s="20">
        <v>278</v>
      </c>
      <c r="D32" s="17"/>
      <c r="E32" s="11"/>
      <c r="G32" s="11"/>
      <c r="I32" s="39" t="s">
        <v>259</v>
      </c>
      <c r="J32" s="39"/>
      <c r="K32" s="40"/>
      <c r="L32" s="40"/>
      <c r="M32" s="41">
        <v>437946.43</v>
      </c>
      <c r="N32" s="40"/>
      <c r="O32" s="40"/>
      <c r="P32" s="42"/>
      <c r="Q32" s="49"/>
    </row>
    <row r="33" ht="15.6" customHeight="1" spans="2:17">
      <c r="B33" s="8" t="s">
        <v>260</v>
      </c>
      <c r="C33" s="20">
        <v>416</v>
      </c>
      <c r="D33" s="17"/>
      <c r="E33" s="11"/>
      <c r="G33" s="11"/>
      <c r="I33" s="39" t="s">
        <v>261</v>
      </c>
      <c r="J33" s="39"/>
      <c r="K33" s="40"/>
      <c r="L33" s="40"/>
      <c r="M33" s="41">
        <v>167295.01</v>
      </c>
      <c r="N33" s="40"/>
      <c r="O33" s="40"/>
      <c r="P33" s="42"/>
      <c r="Q33" s="49"/>
    </row>
    <row r="34" ht="16.2" customHeight="1" spans="2:17">
      <c r="B34" s="8" t="s">
        <v>262</v>
      </c>
      <c r="C34" s="20">
        <v>457</v>
      </c>
      <c r="D34" s="17"/>
      <c r="E34" s="11"/>
      <c r="G34" s="11"/>
      <c r="I34" s="39" t="s">
        <v>263</v>
      </c>
      <c r="J34" s="39"/>
      <c r="K34" s="40"/>
      <c r="L34" s="40"/>
      <c r="M34" s="41">
        <v>78392.86</v>
      </c>
      <c r="N34" s="40"/>
      <c r="O34" s="40"/>
      <c r="P34" s="42"/>
      <c r="Q34" s="49"/>
    </row>
    <row r="35" ht="15.6" customHeight="1" spans="2:17">
      <c r="B35" s="25" t="s">
        <v>264</v>
      </c>
      <c r="C35" s="26">
        <f>SUM(C12:C34)-C13-89</f>
        <v>130927</v>
      </c>
      <c r="D35" s="17"/>
      <c r="E35" s="11"/>
      <c r="G35" s="11"/>
      <c r="I35" s="39" t="s">
        <v>260</v>
      </c>
      <c r="J35" s="39"/>
      <c r="K35" s="40"/>
      <c r="L35" s="40"/>
      <c r="M35" s="41">
        <v>415404</v>
      </c>
      <c r="N35" s="40"/>
      <c r="O35" s="40"/>
      <c r="P35" s="42"/>
      <c r="Q35" s="49"/>
    </row>
    <row r="36" customHeight="1" spans="2:17">
      <c r="B36" s="27"/>
      <c r="C36" s="17"/>
      <c r="D36" s="17"/>
      <c r="E36" s="11"/>
      <c r="G36" s="11"/>
      <c r="I36" s="39" t="s">
        <v>265</v>
      </c>
      <c r="J36" s="39"/>
      <c r="K36" s="40"/>
      <c r="L36" s="40"/>
      <c r="M36" s="41">
        <v>88225.34</v>
      </c>
      <c r="N36" s="40"/>
      <c r="O36" s="40"/>
      <c r="P36" s="42"/>
      <c r="Q36" s="49"/>
    </row>
    <row r="37" customHeight="1" spans="2:17">
      <c r="B37" s="2" t="s">
        <v>266</v>
      </c>
      <c r="I37" s="39" t="s">
        <v>235</v>
      </c>
      <c r="J37" s="39"/>
      <c r="K37" s="40"/>
      <c r="L37" s="40"/>
      <c r="M37" s="41">
        <v>910511.22</v>
      </c>
      <c r="N37" s="40"/>
      <c r="O37" s="40"/>
      <c r="P37" s="42"/>
      <c r="Q37" s="49"/>
    </row>
    <row r="38" customHeight="1" spans="9:17">
      <c r="I38" s="39" t="s">
        <v>262</v>
      </c>
      <c r="J38" s="39"/>
      <c r="K38" s="40"/>
      <c r="L38" s="40"/>
      <c r="M38" s="41">
        <v>457347.83</v>
      </c>
      <c r="N38" s="40"/>
      <c r="O38" s="40"/>
      <c r="P38" s="42"/>
      <c r="Q38" s="49"/>
    </row>
    <row r="39" customHeight="1" spans="2:17">
      <c r="B39" s="3" t="s">
        <v>2</v>
      </c>
      <c r="C39" s="4" t="s">
        <v>213</v>
      </c>
      <c r="D39" s="10" t="s">
        <v>267</v>
      </c>
      <c r="I39" s="39" t="s">
        <v>233</v>
      </c>
      <c r="J39" s="39"/>
      <c r="K39" s="40"/>
      <c r="L39" s="40"/>
      <c r="M39" s="41">
        <v>920921</v>
      </c>
      <c r="N39" s="40"/>
      <c r="O39" s="40"/>
      <c r="P39" s="42"/>
      <c r="Q39" s="49"/>
    </row>
    <row r="40" customHeight="1" spans="2:17">
      <c r="B40" s="8" t="s">
        <v>268</v>
      </c>
      <c r="C40" s="20">
        <v>23039</v>
      </c>
      <c r="D40" s="10"/>
      <c r="E40" s="11">
        <f>1419259.07</f>
        <v>1419259.07</v>
      </c>
      <c r="I40" s="39" t="s">
        <v>229</v>
      </c>
      <c r="J40" s="39"/>
      <c r="K40" s="40"/>
      <c r="L40" s="40"/>
      <c r="M40" s="41">
        <v>6867221</v>
      </c>
      <c r="N40" s="40"/>
      <c r="O40" s="40"/>
      <c r="P40" s="42"/>
      <c r="Q40" s="49"/>
    </row>
    <row r="41" customHeight="1" spans="2:17">
      <c r="B41" s="8" t="s">
        <v>269</v>
      </c>
      <c r="C41" s="20">
        <f>9630+963</f>
        <v>10593</v>
      </c>
      <c r="D41" s="24">
        <v>582</v>
      </c>
      <c r="E41" s="11">
        <f>2797816.01</f>
        <v>2797816.01</v>
      </c>
      <c r="H41" s="11"/>
      <c r="I41" s="39" t="s">
        <v>270</v>
      </c>
      <c r="J41" s="39"/>
      <c r="K41" s="40"/>
      <c r="L41" s="40"/>
      <c r="M41" s="41">
        <v>125116.07</v>
      </c>
      <c r="N41" s="40"/>
      <c r="O41" s="40"/>
      <c r="P41" s="42"/>
      <c r="Q41" s="49"/>
    </row>
    <row r="42" ht="16.2" customHeight="1" spans="2:17">
      <c r="B42" s="8" t="s">
        <v>271</v>
      </c>
      <c r="C42" s="20">
        <f>223198+133+86</f>
        <v>223417</v>
      </c>
      <c r="D42" s="24"/>
      <c r="E42" s="11">
        <v>44729799.09</v>
      </c>
      <c r="G42" s="11"/>
      <c r="I42" s="39" t="s">
        <v>272</v>
      </c>
      <c r="J42" s="39"/>
      <c r="K42" s="40"/>
      <c r="L42" s="40"/>
      <c r="M42" s="41">
        <v>30187.26</v>
      </c>
      <c r="N42" s="40"/>
      <c r="O42" s="40"/>
      <c r="P42" s="42"/>
      <c r="Q42" s="49"/>
    </row>
    <row r="43" customHeight="1" spans="2:17">
      <c r="B43" s="25" t="s">
        <v>186</v>
      </c>
      <c r="C43" s="26">
        <f>SUM(C40:C42)</f>
        <v>257049</v>
      </c>
      <c r="D43" s="28">
        <v>582</v>
      </c>
      <c r="E43" s="11">
        <f>SUM(E40:E42)</f>
        <v>48946874.17</v>
      </c>
      <c r="G43" s="11"/>
      <c r="I43" s="39" t="s">
        <v>273</v>
      </c>
      <c r="J43" s="39"/>
      <c r="K43" s="40"/>
      <c r="L43" s="40"/>
      <c r="M43" s="41">
        <v>13800</v>
      </c>
      <c r="N43" s="40"/>
      <c r="O43" s="40"/>
      <c r="P43" s="42"/>
      <c r="Q43" s="49"/>
    </row>
    <row r="44" customHeight="1" spans="7:17">
      <c r="G44" s="11"/>
      <c r="I44" s="39" t="s">
        <v>258</v>
      </c>
      <c r="J44" s="39"/>
      <c r="K44" s="40"/>
      <c r="L44" s="40"/>
      <c r="M44" s="41">
        <v>278571.44</v>
      </c>
      <c r="N44" s="40"/>
      <c r="O44" s="40"/>
      <c r="P44" s="42"/>
      <c r="Q44" s="49"/>
    </row>
    <row r="45" customHeight="1" spans="2:17">
      <c r="B45" s="2" t="s">
        <v>274</v>
      </c>
      <c r="I45" s="39" t="s">
        <v>251</v>
      </c>
      <c r="J45" s="39"/>
      <c r="K45" s="40"/>
      <c r="L45" s="40"/>
      <c r="M45" s="41">
        <v>1306919.69</v>
      </c>
      <c r="N45" s="40"/>
      <c r="O45" s="40"/>
      <c r="P45" s="42"/>
      <c r="Q45" s="49"/>
    </row>
    <row r="46" customHeight="1" spans="9:17">
      <c r="I46" s="39" t="s">
        <v>275</v>
      </c>
      <c r="J46" s="39"/>
      <c r="K46" s="40"/>
      <c r="L46" s="40"/>
      <c r="M46" s="41">
        <v>43125</v>
      </c>
      <c r="N46" s="40"/>
      <c r="O46" s="40"/>
      <c r="P46" s="42"/>
      <c r="Q46" s="49"/>
    </row>
    <row r="47" customHeight="1" spans="2:17">
      <c r="B47" s="3" t="s">
        <v>2</v>
      </c>
      <c r="C47" s="4" t="s">
        <v>213</v>
      </c>
      <c r="I47" s="43" t="s">
        <v>186</v>
      </c>
      <c r="J47" s="43"/>
      <c r="K47" s="44"/>
      <c r="L47" s="44"/>
      <c r="M47" s="45">
        <v>134514412.65</v>
      </c>
      <c r="N47" s="45">
        <v>134514412.65</v>
      </c>
      <c r="O47" s="44"/>
      <c r="P47" s="46"/>
      <c r="Q47" s="50"/>
    </row>
    <row r="48" customHeight="1" spans="2:3">
      <c r="B48" s="8" t="s">
        <v>276</v>
      </c>
      <c r="C48" s="20">
        <f>90643+9884</f>
        <v>100527</v>
      </c>
    </row>
    <row r="49" ht="15" customHeight="1" spans="2:3">
      <c r="B49" s="8" t="s">
        <v>277</v>
      </c>
      <c r="C49" s="20">
        <v>150375</v>
      </c>
    </row>
    <row r="50" customHeight="1" spans="2:3">
      <c r="B50" s="25" t="s">
        <v>186</v>
      </c>
      <c r="C50" s="26">
        <f>SUM(C48:C49)</f>
        <v>250902</v>
      </c>
    </row>
    <row r="51" customHeight="1"/>
    <row r="52" customHeight="1" spans="2:2">
      <c r="B52" s="2" t="s">
        <v>278</v>
      </c>
    </row>
    <row r="53" customHeight="1"/>
    <row r="54" customHeight="1" spans="2:3">
      <c r="B54" s="3" t="s">
        <v>2</v>
      </c>
      <c r="C54" s="4" t="s">
        <v>213</v>
      </c>
    </row>
    <row r="55" ht="15" customHeight="1" spans="2:3">
      <c r="B55" s="8" t="s">
        <v>279</v>
      </c>
      <c r="C55" s="20">
        <v>17829</v>
      </c>
    </row>
    <row r="56" customHeight="1" spans="2:3">
      <c r="B56" s="25" t="s">
        <v>186</v>
      </c>
      <c r="C56" s="26">
        <f>SUM(C55:C55)</f>
        <v>17829</v>
      </c>
    </row>
    <row r="57" customHeight="1" spans="2:3">
      <c r="B57" s="16"/>
      <c r="C57" s="29"/>
    </row>
    <row r="58" customHeight="1" spans="2:2">
      <c r="B58" s="2" t="s">
        <v>280</v>
      </c>
    </row>
    <row r="59" customHeight="1" spans="7:7">
      <c r="G59" s="30"/>
    </row>
    <row r="60" customHeight="1" spans="2:3">
      <c r="B60" s="3" t="s">
        <v>2</v>
      </c>
      <c r="C60" s="4" t="s">
        <v>213</v>
      </c>
    </row>
    <row r="61" customHeight="1" spans="2:7">
      <c r="B61" s="8" t="s">
        <v>281</v>
      </c>
      <c r="C61" s="20">
        <v>-20096</v>
      </c>
      <c r="D61" s="1">
        <f>2432346.34-7200241</f>
        <v>-4767894.66</v>
      </c>
      <c r="E61" s="31">
        <v>2432346.34</v>
      </c>
      <c r="F61" s="31">
        <v>7200241</v>
      </c>
      <c r="G61" s="11"/>
    </row>
    <row r="62" ht="15.6" customHeight="1" spans="2:3">
      <c r="B62" s="25" t="s">
        <v>186</v>
      </c>
      <c r="C62" s="26">
        <f>SUM(C61:C61)</f>
        <v>-20096</v>
      </c>
    </row>
    <row r="64" customHeight="1" spans="2:2">
      <c r="B64" s="2" t="s">
        <v>282</v>
      </c>
    </row>
    <row r="65" customHeight="1" spans="2:3">
      <c r="B65" s="51"/>
      <c r="C65" s="51"/>
    </row>
    <row r="66" customHeight="1" spans="2:3">
      <c r="B66" s="52" t="s">
        <v>2</v>
      </c>
      <c r="C66" s="4" t="s">
        <v>213</v>
      </c>
    </row>
    <row r="67" customHeight="1" spans="2:3">
      <c r="B67" s="8" t="s">
        <v>283</v>
      </c>
      <c r="C67" s="20">
        <v>-720</v>
      </c>
    </row>
    <row r="68" hidden="1" customHeight="1" spans="2:3">
      <c r="B68" s="8" t="s">
        <v>284</v>
      </c>
      <c r="C68" s="20"/>
    </row>
    <row r="69" customHeight="1" spans="2:3">
      <c r="B69" s="13" t="s">
        <v>186</v>
      </c>
      <c r="C69" s="53">
        <f>C67+C68</f>
        <v>-720</v>
      </c>
    </row>
  </sheetData>
  <mergeCells count="51">
    <mergeCell ref="I5:J5"/>
    <mergeCell ref="K5:L5"/>
    <mergeCell ref="M5:N5"/>
    <mergeCell ref="O5:Q5"/>
    <mergeCell ref="I6:J6"/>
    <mergeCell ref="I7:J7"/>
    <mergeCell ref="I9:J9"/>
    <mergeCell ref="I10:J10"/>
    <mergeCell ref="I11:J11"/>
    <mergeCell ref="I12:J12"/>
    <mergeCell ref="I13:J13"/>
    <mergeCell ref="I14:J14"/>
    <mergeCell ref="I15:J15"/>
    <mergeCell ref="I16:J16"/>
    <mergeCell ref="I17:J17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I33:J33"/>
    <mergeCell ref="I34:J34"/>
    <mergeCell ref="I35:J35"/>
    <mergeCell ref="I36:J36"/>
    <mergeCell ref="I37:J37"/>
    <mergeCell ref="I38:J38"/>
    <mergeCell ref="I39:J39"/>
    <mergeCell ref="I40:J40"/>
    <mergeCell ref="I41:J41"/>
    <mergeCell ref="I42:J42"/>
    <mergeCell ref="I43:J43"/>
    <mergeCell ref="I44:J44"/>
    <mergeCell ref="I45:J45"/>
    <mergeCell ref="I46:J46"/>
    <mergeCell ref="I47:J47"/>
    <mergeCell ref="K6:K7"/>
    <mergeCell ref="L6:L7"/>
    <mergeCell ref="M6:M7"/>
    <mergeCell ref="N6:N7"/>
    <mergeCell ref="O6:O7"/>
    <mergeCell ref="P6:Q7"/>
  </mergeCells>
  <pageMargins left="0.196527777777778" right="0.11805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Отчет о фин.полож. </vt:lpstr>
      <vt:lpstr>опиу</vt:lpstr>
      <vt:lpstr>Отчет о совокуп.доходе </vt:lpstr>
      <vt:lpstr>Отчет ДДС </vt:lpstr>
      <vt:lpstr>Отчет об измен.в кап. </vt:lpstr>
      <vt:lpstr>Лист4</vt:lpstr>
      <vt:lpstr>Лист5</vt:lpstr>
      <vt:lpstr>ПЗ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FinQ</dc:creator>
  <cp:lastModifiedBy>Manatayeva Dilyara</cp:lastModifiedBy>
  <dcterms:created xsi:type="dcterms:W3CDTF">2015-06-05T18:19:00Z</dcterms:created>
  <cp:lastPrinted>2023-08-02T06:12:00Z</cp:lastPrinted>
  <dcterms:modified xsi:type="dcterms:W3CDTF">2023-08-22T11:07:47Z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4B4675CD40D648BE962D4543041FDBFF</vt:lpwstr>
  </property>
  <property fmtid="{D5CDD505-2E9C-101B-9397-08002B2CF9AE}" pid="3" name="KSOProductBuildVer">
    <vt:lpwstr>1049-11.2.0.11537</vt:lpwstr>
  </property>
</Properties>
</file>