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Отчет СК" sheetId="1" r:id="rId1"/>
    <sheet name="ДС  3кв 2013 " sheetId="2" r:id="rId2"/>
    <sheet name="ДС  9 мес 2013 " sheetId="3" r:id="rId3"/>
    <sheet name="баланс" sheetId="4" r:id="rId4"/>
    <sheet name="Ф№ 3 кв " sheetId="5" r:id="rId5"/>
    <sheet name="Ф№ 9 мес" sheetId="6" r:id="rId6"/>
  </sheets>
  <externalReferences>
    <externalReference r:id="rId9"/>
  </externalReferences>
  <definedNames>
    <definedName name="_xlnm.Print_Area" localSheetId="3">'баланс'!$A$1:$J$70</definedName>
    <definedName name="_xlnm.Print_Area" localSheetId="1">'ДС  3кв 2013 '!$B$1:$L$77</definedName>
    <definedName name="_xlnm.Print_Area" localSheetId="2">'ДС  9 мес 2013 '!$A$1:$K$77</definedName>
    <definedName name="_xlnm.Print_Area" localSheetId="0">'Отчет СК'!$A$1:$H$34</definedName>
    <definedName name="_xlnm.Print_Area" localSheetId="4">'Ф№ 3 кв '!$A$1:$I$43</definedName>
    <definedName name="_xlnm.Print_Area" localSheetId="5">'Ф№ 9 мес'!$A$1:$H$43</definedName>
  </definedNames>
  <calcPr fullCalcOnLoad="1"/>
</workbook>
</file>

<file path=xl/sharedStrings.xml><?xml version="1.0" encoding="utf-8"?>
<sst xmlns="http://schemas.openxmlformats.org/spreadsheetml/2006/main" count="508" uniqueCount="216">
  <si>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</si>
  <si>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</si>
  <si>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</si>
  <si>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</si>
  <si>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</si>
  <si>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</si>
  <si>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</si>
  <si>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</si>
  <si>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</si>
  <si>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</si>
  <si>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</si>
  <si>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</si>
  <si>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</si>
  <si>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</si>
  <si>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</si>
  <si>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</si>
  <si>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</si>
  <si>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</si>
  <si>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</si>
  <si>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</si>
  <si>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</si>
  <si>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</si>
  <si>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</si>
  <si>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</si>
  <si>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</si>
  <si>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</si>
  <si>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</si>
  <si>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</si>
  <si>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</si>
  <si>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</si>
  <si>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</si>
  <si>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</si>
  <si>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</si>
  <si>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Баланс (стр. 100 + стр. 200)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</si>
  <si>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</si>
  <si>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</si>
  <si>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</si>
  <si>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</si>
  <si>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</si>
  <si>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</si>
  <si>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</si>
  <si>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</si>
  <si>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</si>
  <si>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044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</si>
  <si>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</si>
  <si>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</si>
  <si>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</si>
  <si>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</si>
  <si>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</si>
  <si>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</si>
  <si>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</si>
  <si>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</si>
  <si>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</si>
  <si>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</si>
  <si>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</si>
  <si>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</si>
  <si>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Баланс (стр. 300 + стр. 400 + стр. 500)                                                                               </t>
  </si>
  <si>
    <t xml:space="preserve"> </t>
  </si>
  <si>
    <t xml:space="preserve">Руководитель </t>
  </si>
  <si>
    <t>Малахов В. А.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</si>
  <si>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</si>
  <si>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</si>
  <si>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</si>
  <si>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</si>
  <si>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</si>
  <si>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</si>
  <si>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</si>
  <si>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070</t>
  </si>
  <si>
    <t>080</t>
  </si>
  <si>
    <t>090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</si>
  <si>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</si>
  <si>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</si>
  <si>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</si>
  <si>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</si>
  <si>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 xml:space="preserve">ОТЧЕТ О ДВИЖЕНИИ ДЕНЕГ </t>
  </si>
  <si>
    <t>(прямой метод)</t>
  </si>
  <si>
    <t>I. ДВИЖЕНИЕ  ДЕНЕЖНЫХ  СРЕДСТВ  ОТ ОПЕРАЦИОННОЙ ДЕЯТЕЛЬНОСТИ</t>
  </si>
  <si>
    <t xml:space="preserve">      в том числе: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</si>
  <si>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</si>
  <si>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</si>
  <si>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</si>
  <si>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</si>
  <si>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</si>
  <si>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</si>
  <si>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</si>
  <si>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</si>
  <si>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</si>
  <si>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</si>
  <si>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 (стр. 010 -  стр. 020)</t>
  </si>
  <si>
    <t>II. ДВИЖЕНИЕ  ДЕНЕЖНЫХ  СРЕДСТВ  ОТ ИНВЕСТИЦИОННОЙ  ДЕЯТЕЛЬНОСТИ</t>
  </si>
  <si>
    <t>1. Поступление денежных средств, всего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</si>
  <si>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</si>
  <si>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</si>
  <si>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</si>
  <si>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</si>
  <si>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</si>
  <si>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>045</t>
  </si>
  <si>
    <t xml:space="preserve">           фьючерсные и форвардные контракты, опционы и свопы</t>
  </si>
  <si>
    <t>046</t>
  </si>
  <si>
    <t>047</t>
  </si>
  <si>
    <t>2. Выбытие денежных средств, всего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</si>
  <si>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</si>
  <si>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</si>
  <si>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</si>
  <si>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</si>
  <si>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</si>
  <si>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</si>
  <si>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 040 - стр. 050)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</si>
  <si>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</si>
  <si>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</si>
  <si>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>071</t>
  </si>
  <si>
    <t xml:space="preserve">           получение займов</t>
  </si>
  <si>
    <t>072</t>
  </si>
  <si>
    <t>073</t>
  </si>
  <si>
    <t>074</t>
  </si>
  <si>
    <t xml:space="preserve">           погашение займов</t>
  </si>
  <si>
    <t>081</t>
  </si>
  <si>
    <t xml:space="preserve">           приобретение собственных акций</t>
  </si>
  <si>
    <t>082</t>
  </si>
  <si>
    <t xml:space="preserve">           выплата дивидендов</t>
  </si>
  <si>
    <t>083</t>
  </si>
  <si>
    <t>084</t>
  </si>
  <si>
    <t>3. Чистая сумма денежных средств от финансовой деятельности (стр. 070 - стр. 080)</t>
  </si>
  <si>
    <t>ИТОГО: Увеличение + / - уменьшение денежных средств          (стр. 030 + / - стр. 060 + / 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</si>
  <si>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</si>
  <si>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</si>
  <si>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</si>
  <si>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</si>
  <si>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</si>
  <si>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</si>
  <si>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</si>
  <si>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Прибыль / убыток за период</t>
  </si>
  <si>
    <t>Дивиденды</t>
  </si>
  <si>
    <t>Алматы Достык 250 офис 1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</si>
  <si>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</si>
  <si>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</si>
  <si>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</si>
  <si>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</si>
  <si>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</si>
  <si>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</si>
  <si>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</si>
  <si>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 xml:space="preserve">           прочие выплаты по финансовому лизингу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</si>
  <si>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</si>
  <si>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</si>
  <si>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</si>
  <si>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</si>
  <si>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</si>
  <si>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</si>
  <si>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</si>
  <si>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</si>
  <si>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 xml:space="preserve">           приобретение основных средств</t>
  </si>
  <si>
    <t>Отчет о финансовом положении</t>
  </si>
  <si>
    <t>4.Влияние обменных  курсов валют к тенге</t>
  </si>
  <si>
    <t xml:space="preserve">          реализация товаров, услуг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</si>
  <si>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</si>
  <si>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</si>
  <si>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</si>
  <si>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</si>
  <si>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</si>
  <si>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Прибыль (убыток) до налогов (стр. 016 + стр. 017- стр.018)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</si>
  <si>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</si>
  <si>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</si>
  <si>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</si>
  <si>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</si>
  <si>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</si>
  <si>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</si>
  <si>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</si>
  <si>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</si>
  <si>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</si>
  <si>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Прибыль (убыток) по операционной  деят-ти стр. 012 +013- стр. 014- cтр 016)</t>
  </si>
  <si>
    <t>Прочие доходы от операционной деятельности</t>
  </si>
  <si>
    <t>Прибыль(убыток) от курсовой разницы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</si>
  <si>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</si>
  <si>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</si>
  <si>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</si>
  <si>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</si>
  <si>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</si>
  <si>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</si>
  <si>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На  начало отчетного периода 01/01/2013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</si>
  <si>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</si>
  <si>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</si>
  <si>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</si>
  <si>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</si>
  <si>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</si>
  <si>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</si>
  <si>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</si>
  <si>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</si>
  <si>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</si>
  <si>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Сальдо на 1 января 2012 года</t>
  </si>
  <si>
    <t>Фонд переоценки</t>
  </si>
  <si>
    <t xml:space="preserve">Итого </t>
  </si>
  <si>
    <t>Итого совокупный доход за отчетный год</t>
  </si>
  <si>
    <t>Аммортизация фонда переоценки</t>
  </si>
  <si>
    <t>Сальдо на 31 декабря 2012 года</t>
  </si>
  <si>
    <t>Прибыль  за отчетный период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</si>
  <si>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</si>
  <si>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</si>
  <si>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</si>
  <si>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</si>
  <si>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</si>
  <si>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 xml:space="preserve">На конец  отчетного периода  30/09/2013 </t>
  </si>
  <si>
    <t>за 9 мес 2013</t>
  </si>
  <si>
    <t>За 9 мес 2013</t>
  </si>
  <si>
    <t>за 3 квартал 2013</t>
  </si>
  <si>
    <t>За предыдущий  2кв 2013</t>
  </si>
  <si>
    <t>За отчетный  3кв 2013</t>
  </si>
  <si>
    <t>на конец  30 сентября 2013 г.</t>
  </si>
  <si>
    <t>Сальдо на 30 сентября 2013 года</t>
  </si>
  <si>
    <t>ЗА 9 мес 2013</t>
  </si>
  <si>
    <t>За отчетный период  9 мес 2013</t>
  </si>
  <si>
    <t>ЗА 3 кв 2013</t>
  </si>
  <si>
    <t>За предудущий период 2 квартал 2013</t>
  </si>
  <si>
    <t>За отчетный период 3 квартал 2013</t>
  </si>
  <si>
    <t xml:space="preserve">           взносы в уставный капитал</t>
  </si>
  <si>
    <t>Влияние отсроченного подоходного налога на резерв по переоценке</t>
  </si>
  <si>
    <t>Увеличение уставного капитала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</si>
</sst>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3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7" fillId="33" borderId="17" xfId="0" applyNumberFormat="1" applyFont="1" applyFill="1" applyBorder="1" applyAlignment="1">
      <alignment horizontal="right"/>
    </xf>
    <xf numFmtId="3" fontId="57" fillId="33" borderId="18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5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04850" y="0"/>
          <a:ext cx="4419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04850" y="0"/>
          <a:ext cx="4419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057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38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538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2.574218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6.7109375" style="0" customWidth="1"/>
    <col min="6" max="6" width="15.421875" style="0" customWidth="1"/>
    <col min="7" max="7" width="16.140625" style="0" customWidth="1"/>
    <col min="8" max="8" width="17.851562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06"/>
      <c r="H2" s="106"/>
    </row>
    <row r="4" spans="1:7" ht="12.75">
      <c r="A4" s="60" t="s">
        <v>0</v>
      </c>
      <c r="B4" s="60"/>
      <c r="C4" s="60"/>
      <c r="D4" s="60"/>
      <c r="E4" s="107" t="s">
        <v>195</v>
      </c>
      <c r="F4" s="107"/>
      <c r="G4" s="107"/>
    </row>
    <row r="6" spans="1:8" ht="15.75">
      <c r="A6" s="108" t="s">
        <v>127</v>
      </c>
      <c r="B6" s="108"/>
      <c r="C6" s="108"/>
      <c r="D6" s="108"/>
      <c r="E6" s="108"/>
      <c r="F6" s="108"/>
      <c r="G6" s="108"/>
      <c r="H6" s="108"/>
    </row>
    <row r="7" spans="1:8" ht="12.75">
      <c r="A7" s="109" t="s">
        <v>206</v>
      </c>
      <c r="B7" s="109"/>
      <c r="C7" s="109"/>
      <c r="D7" s="109"/>
      <c r="E7" s="109"/>
      <c r="F7" s="109"/>
      <c r="G7" s="109"/>
      <c r="H7" s="109"/>
    </row>
    <row r="8" ht="12.75">
      <c r="H8" t="s">
        <v>128</v>
      </c>
    </row>
    <row r="9" spans="1:8" ht="12.75">
      <c r="A9" s="110"/>
      <c r="B9" s="110"/>
      <c r="C9" s="110"/>
      <c r="D9" s="110"/>
      <c r="E9" s="111"/>
      <c r="F9" s="111"/>
      <c r="G9" s="111"/>
      <c r="H9" s="61" t="s">
        <v>190</v>
      </c>
    </row>
    <row r="10" spans="1:8" ht="24">
      <c r="A10" s="110"/>
      <c r="B10" s="110"/>
      <c r="C10" s="110"/>
      <c r="D10" s="110"/>
      <c r="E10" s="61" t="s">
        <v>196</v>
      </c>
      <c r="F10" s="61" t="s">
        <v>189</v>
      </c>
      <c r="G10" s="61" t="s">
        <v>129</v>
      </c>
      <c r="H10" s="61"/>
    </row>
    <row r="11" spans="1:8" ht="12.75">
      <c r="A11" s="104" t="s">
        <v>188</v>
      </c>
      <c r="B11" s="104"/>
      <c r="C11" s="104"/>
      <c r="D11" s="104"/>
      <c r="E11" s="80">
        <v>840000</v>
      </c>
      <c r="F11" s="80">
        <v>14955611</v>
      </c>
      <c r="G11" s="80">
        <v>13584322</v>
      </c>
      <c r="H11" s="80">
        <f>G11+F11+E11</f>
        <v>29379933</v>
      </c>
    </row>
    <row r="12" spans="1:8" ht="13.5" thickBot="1">
      <c r="A12" s="114" t="s">
        <v>131</v>
      </c>
      <c r="B12" s="114"/>
      <c r="C12" s="114"/>
      <c r="D12" s="114"/>
      <c r="E12" s="82" t="s">
        <v>130</v>
      </c>
      <c r="F12" s="82"/>
      <c r="G12" s="82">
        <v>6004199</v>
      </c>
      <c r="H12" s="82">
        <f>G12</f>
        <v>6004199</v>
      </c>
    </row>
    <row r="13" spans="1:8" ht="12.75">
      <c r="A13" s="105" t="s">
        <v>191</v>
      </c>
      <c r="B13" s="105"/>
      <c r="C13" s="105"/>
      <c r="D13" s="105"/>
      <c r="E13" s="81" t="s">
        <v>130</v>
      </c>
      <c r="F13" s="81"/>
      <c r="G13" s="81">
        <f>G12</f>
        <v>6004199</v>
      </c>
      <c r="H13" s="81">
        <f>G13</f>
        <v>6004199</v>
      </c>
    </row>
    <row r="14" spans="1:8" ht="12.75">
      <c r="A14" s="112" t="s">
        <v>192</v>
      </c>
      <c r="B14" s="112"/>
      <c r="C14" s="112"/>
      <c r="D14" s="112"/>
      <c r="E14" s="55"/>
      <c r="F14" s="55">
        <f>-788784</f>
        <v>-788784</v>
      </c>
      <c r="G14" s="55">
        <v>788784</v>
      </c>
      <c r="H14" s="55">
        <f>F14+G14</f>
        <v>0</v>
      </c>
    </row>
    <row r="15" spans="1:8" ht="13.5" thickBot="1">
      <c r="A15" s="113" t="s">
        <v>132</v>
      </c>
      <c r="B15" s="113"/>
      <c r="C15" s="113"/>
      <c r="D15" s="113"/>
      <c r="E15" s="83" t="s">
        <v>130</v>
      </c>
      <c r="F15" s="83"/>
      <c r="G15" s="83">
        <f>-925505</f>
        <v>-925505</v>
      </c>
      <c r="H15" s="83">
        <f>G15</f>
        <v>-925505</v>
      </c>
    </row>
    <row r="16" spans="1:8" ht="13.5" thickBot="1">
      <c r="A16" s="115" t="s">
        <v>193</v>
      </c>
      <c r="B16" s="116"/>
      <c r="C16" s="116"/>
      <c r="D16" s="116"/>
      <c r="E16" s="84">
        <f>E11</f>
        <v>840000</v>
      </c>
      <c r="F16" s="84">
        <f>F11+F14</f>
        <v>14166827</v>
      </c>
      <c r="G16" s="84">
        <f>G11+G13+G14+G15</f>
        <v>19451800</v>
      </c>
      <c r="H16" s="85">
        <f>G16+F16+E16</f>
        <v>34458627</v>
      </c>
    </row>
    <row r="17" spans="1:8" ht="12.75">
      <c r="A17" s="105" t="s">
        <v>194</v>
      </c>
      <c r="B17" s="105"/>
      <c r="C17" s="105"/>
      <c r="D17" s="105"/>
      <c r="E17" s="81" t="s">
        <v>130</v>
      </c>
      <c r="F17" s="81"/>
      <c r="G17" s="81">
        <f>6509837.321</f>
        <v>6509837.321</v>
      </c>
      <c r="H17" s="81">
        <f>G17</f>
        <v>6509837.321</v>
      </c>
    </row>
    <row r="18" spans="1:8" ht="12.75">
      <c r="A18" s="112" t="s">
        <v>191</v>
      </c>
      <c r="B18" s="112"/>
      <c r="C18" s="112"/>
      <c r="D18" s="112"/>
      <c r="E18" s="55" t="s">
        <v>130</v>
      </c>
      <c r="F18" s="55"/>
      <c r="G18" s="55">
        <f>G17</f>
        <v>6509837.321</v>
      </c>
      <c r="H18" s="55">
        <f>G18</f>
        <v>6509837.321</v>
      </c>
    </row>
    <row r="19" spans="1:8" ht="12.75">
      <c r="A19" s="112" t="s">
        <v>215</v>
      </c>
      <c r="B19" s="112"/>
      <c r="C19" s="112"/>
      <c r="D19" s="112"/>
      <c r="E19" s="55">
        <f>3005400</f>
        <v>3005400</v>
      </c>
      <c r="F19" s="55"/>
      <c r="G19" s="55"/>
      <c r="H19" s="55">
        <f>E19</f>
        <v>3005400</v>
      </c>
    </row>
    <row r="20" spans="1:8" ht="12.75">
      <c r="A20" s="112" t="s">
        <v>192</v>
      </c>
      <c r="B20" s="112"/>
      <c r="C20" s="112"/>
      <c r="D20" s="112"/>
      <c r="E20" s="55"/>
      <c r="F20" s="55">
        <f>-638834.84</f>
        <v>-638834.84</v>
      </c>
      <c r="G20" s="55">
        <v>638834.84</v>
      </c>
      <c r="H20" s="55">
        <f>F20+G20</f>
        <v>0</v>
      </c>
    </row>
    <row r="21" spans="1:8" ht="18.75" customHeight="1">
      <c r="A21" s="112" t="s">
        <v>214</v>
      </c>
      <c r="B21" s="112"/>
      <c r="C21" s="112"/>
      <c r="D21" s="112"/>
      <c r="E21" s="55"/>
      <c r="F21" s="55">
        <v>127766.968</v>
      </c>
      <c r="G21" s="55">
        <v>-127767</v>
      </c>
      <c r="H21" s="55">
        <f>F21+G21</f>
        <v>-0.03200000000651926</v>
      </c>
    </row>
    <row r="22" spans="1:8" ht="13.5" thickBot="1">
      <c r="A22" s="113" t="s">
        <v>132</v>
      </c>
      <c r="B22" s="113"/>
      <c r="C22" s="113"/>
      <c r="D22" s="113"/>
      <c r="E22" s="83" t="s">
        <v>130</v>
      </c>
      <c r="F22" s="83"/>
      <c r="G22" s="83">
        <v>-1501049.75</v>
      </c>
      <c r="H22" s="83">
        <f>G22</f>
        <v>-1501049.75</v>
      </c>
    </row>
    <row r="23" spans="1:9" ht="13.5" thickBot="1">
      <c r="A23" s="117" t="s">
        <v>207</v>
      </c>
      <c r="B23" s="118"/>
      <c r="C23" s="118"/>
      <c r="D23" s="118"/>
      <c r="E23" s="86">
        <f>E16+E19</f>
        <v>3845400</v>
      </c>
      <c r="F23" s="86">
        <f>F16+F20+F21</f>
        <v>13655759.128</v>
      </c>
      <c r="G23" s="86">
        <f>G16+G18+G20+G21+G22</f>
        <v>24971655.411000002</v>
      </c>
      <c r="H23" s="87">
        <f>G23+F23+E23-1</f>
        <v>42472813.539000005</v>
      </c>
      <c r="I23" s="103"/>
    </row>
    <row r="25" spans="1:7" ht="12.75">
      <c r="A25" s="122" t="s">
        <v>58</v>
      </c>
      <c r="B25" s="122"/>
      <c r="C25" s="120" t="s">
        <v>59</v>
      </c>
      <c r="D25" s="120"/>
      <c r="E25" s="120"/>
      <c r="F25" s="120" t="s">
        <v>60</v>
      </c>
      <c r="G25" s="120"/>
    </row>
    <row r="26" spans="2:7" ht="12.75">
      <c r="B26" t="s">
        <v>61</v>
      </c>
      <c r="F26" s="121" t="s">
        <v>62</v>
      </c>
      <c r="G26" s="121"/>
    </row>
    <row r="27" spans="1:7" ht="12.75">
      <c r="A27" s="119" t="s">
        <v>63</v>
      </c>
      <c r="B27" s="119"/>
      <c r="C27" s="120" t="s">
        <v>149</v>
      </c>
      <c r="D27" s="120"/>
      <c r="E27" s="120"/>
      <c r="F27" s="120" t="s">
        <v>60</v>
      </c>
      <c r="G27" s="120"/>
    </row>
    <row r="28" spans="2:7" ht="12.75">
      <c r="B28" t="s">
        <v>61</v>
      </c>
      <c r="F28" s="121" t="s">
        <v>62</v>
      </c>
      <c r="G28" s="121"/>
    </row>
    <row r="29" ht="12.75">
      <c r="A29" s="2" t="s">
        <v>64</v>
      </c>
    </row>
  </sheetData>
  <sheetProtection/>
  <mergeCells count="27"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  <mergeCell ref="A14:D14"/>
    <mergeCell ref="A15:D15"/>
    <mergeCell ref="A17:D17"/>
    <mergeCell ref="A12:D12"/>
    <mergeCell ref="A16:D16"/>
    <mergeCell ref="A22:D22"/>
    <mergeCell ref="A18:D18"/>
    <mergeCell ref="A20:D20"/>
    <mergeCell ref="A21:D21"/>
    <mergeCell ref="A19:D19"/>
    <mergeCell ref="A11:D11"/>
    <mergeCell ref="A13:D13"/>
    <mergeCell ref="G2:H2"/>
    <mergeCell ref="E4:G4"/>
    <mergeCell ref="A6:H6"/>
    <mergeCell ref="A7:H7"/>
    <mergeCell ref="A9:D10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P78"/>
  <sheetViews>
    <sheetView zoomScalePageLayoutView="0" workbookViewId="0" topLeftCell="A1">
      <selection activeCell="J8" sqref="J8"/>
    </sheetView>
  </sheetViews>
  <sheetFormatPr defaultColWidth="8.140625" defaultRowHeight="12.75"/>
  <cols>
    <col min="1" max="1" width="2.28125" style="39" customWidth="1"/>
    <col min="2" max="2" width="3.28125" style="39" customWidth="1"/>
    <col min="3" max="3" width="3.8515625" style="39" customWidth="1"/>
    <col min="4" max="4" width="9.140625" style="39" customWidth="1"/>
    <col min="5" max="5" width="11.57421875" style="39" customWidth="1"/>
    <col min="6" max="6" width="11.28125" style="39" customWidth="1"/>
    <col min="7" max="7" width="14.140625" style="39" customWidth="1"/>
    <col min="8" max="8" width="6.8515625" style="39" customWidth="1"/>
    <col min="9" max="10" width="14.421875" style="39" customWidth="1"/>
    <col min="11" max="11" width="11.8515625" style="39" customWidth="1"/>
    <col min="12" max="12" width="13.28125" style="39" customWidth="1"/>
    <col min="13" max="13" width="8.140625" style="39" customWidth="1"/>
    <col min="14" max="14" width="8.57421875" style="39" bestFit="1" customWidth="1"/>
    <col min="15" max="16384" width="8.140625" style="39" customWidth="1"/>
  </cols>
  <sheetData>
    <row r="1" ht="12.75" customHeight="1"/>
    <row r="2" spans="6:10" s="40" customFormat="1" ht="12.75" customHeight="1">
      <c r="F2" s="41"/>
      <c r="G2" s="41"/>
      <c r="H2" s="41"/>
      <c r="I2" s="41"/>
      <c r="J2" s="41"/>
    </row>
    <row r="3" spans="6:10" s="40" customFormat="1" ht="12.75" customHeight="1">
      <c r="F3" s="41"/>
      <c r="G3" s="41"/>
      <c r="H3" s="41"/>
      <c r="I3" s="41"/>
      <c r="J3" s="41"/>
    </row>
    <row r="4" spans="3:10" s="42" customFormat="1" ht="12.75" customHeight="1">
      <c r="C4" s="43"/>
      <c r="D4" s="123" t="s">
        <v>74</v>
      </c>
      <c r="E4" s="123"/>
      <c r="F4" s="123"/>
      <c r="G4" s="123"/>
      <c r="H4" s="123"/>
      <c r="I4" s="123"/>
      <c r="J4" s="90"/>
    </row>
    <row r="5" spans="4:10" ht="12">
      <c r="D5" s="124" t="s">
        <v>203</v>
      </c>
      <c r="E5" s="124"/>
      <c r="F5" s="124"/>
      <c r="G5" s="124"/>
      <c r="H5" s="124"/>
      <c r="I5" s="124"/>
      <c r="J5" s="91"/>
    </row>
    <row r="6" spans="4:10" ht="12.75" customHeight="1">
      <c r="D6" s="125" t="s">
        <v>75</v>
      </c>
      <c r="E6" s="125"/>
      <c r="F6" s="125"/>
      <c r="G6" s="125"/>
      <c r="H6" s="125"/>
      <c r="I6" s="125"/>
      <c r="J6" s="92"/>
    </row>
    <row r="7" spans="4:10" ht="12.75">
      <c r="D7" s="125"/>
      <c r="E7" s="125"/>
      <c r="F7" s="125"/>
      <c r="G7" s="125"/>
      <c r="H7" s="125"/>
      <c r="I7" s="125"/>
      <c r="J7" s="92"/>
    </row>
    <row r="8" spans="2:10" s="44" customFormat="1" ht="17.25" customHeight="1">
      <c r="B8" s="126" t="s">
        <v>0</v>
      </c>
      <c r="C8" s="126"/>
      <c r="D8" s="126"/>
      <c r="E8" s="126"/>
      <c r="F8" s="126"/>
      <c r="G8" s="127" t="s">
        <v>1</v>
      </c>
      <c r="H8" s="127"/>
      <c r="I8" s="127"/>
      <c r="J8" s="93"/>
    </row>
    <row r="9" spans="2:12" s="40" customFormat="1" ht="12.75" customHeight="1">
      <c r="B9" s="129" t="s">
        <v>2</v>
      </c>
      <c r="C9" s="129"/>
      <c r="D9" s="129"/>
      <c r="E9" s="129"/>
      <c r="F9" s="129"/>
      <c r="G9" s="128" t="s">
        <v>3</v>
      </c>
      <c r="H9" s="128"/>
      <c r="I9" s="128"/>
      <c r="J9" s="88"/>
      <c r="K9" s="44"/>
      <c r="L9" s="44"/>
    </row>
    <row r="10" spans="2:10" s="40" customFormat="1" ht="12.75" customHeight="1">
      <c r="B10" s="129" t="s">
        <v>4</v>
      </c>
      <c r="C10" s="129"/>
      <c r="D10" s="129"/>
      <c r="E10" s="129"/>
      <c r="F10" s="129"/>
      <c r="G10" s="130" t="s">
        <v>5</v>
      </c>
      <c r="H10" s="130"/>
      <c r="I10" s="130"/>
      <c r="J10" s="89"/>
    </row>
    <row r="11" spans="2:12" s="40" customFormat="1" ht="12.75" customHeight="1">
      <c r="B11" s="129" t="s">
        <v>6</v>
      </c>
      <c r="C11" s="129"/>
      <c r="D11" s="129"/>
      <c r="E11" s="129"/>
      <c r="F11" s="129"/>
      <c r="G11" s="131" t="s">
        <v>133</v>
      </c>
      <c r="H11" s="131"/>
      <c r="I11" s="131"/>
      <c r="J11" s="131"/>
      <c r="K11" s="131"/>
      <c r="L11" s="131"/>
    </row>
    <row r="12" spans="11:250" ht="12.75"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2:10" ht="12.75" customHeight="1">
      <c r="B13" s="134" t="s">
        <v>65</v>
      </c>
      <c r="C13" s="134"/>
      <c r="D13" s="134"/>
      <c r="E13" s="134"/>
      <c r="F13" s="134"/>
      <c r="G13" s="134"/>
      <c r="H13" s="133" t="s">
        <v>8</v>
      </c>
      <c r="I13" s="133" t="s">
        <v>205</v>
      </c>
      <c r="J13" s="133" t="s">
        <v>204</v>
      </c>
    </row>
    <row r="14" spans="2:10" ht="42" customHeight="1">
      <c r="B14" s="134"/>
      <c r="C14" s="134"/>
      <c r="D14" s="134"/>
      <c r="E14" s="134"/>
      <c r="F14" s="134"/>
      <c r="G14" s="134"/>
      <c r="H14" s="133"/>
      <c r="I14" s="133"/>
      <c r="J14" s="133"/>
    </row>
    <row r="15" spans="2:10" ht="12.75" customHeight="1">
      <c r="B15" s="134" t="s">
        <v>76</v>
      </c>
      <c r="C15" s="134"/>
      <c r="D15" s="134"/>
      <c r="E15" s="134"/>
      <c r="F15" s="134"/>
      <c r="G15" s="134"/>
      <c r="H15" s="134"/>
      <c r="I15" s="134"/>
      <c r="J15" s="96"/>
    </row>
    <row r="16" spans="2:10" ht="12.75" customHeight="1">
      <c r="B16" s="135" t="s">
        <v>90</v>
      </c>
      <c r="C16" s="135"/>
      <c r="D16" s="135"/>
      <c r="E16" s="135"/>
      <c r="F16" s="135"/>
      <c r="G16" s="135"/>
      <c r="H16" s="46" t="s">
        <v>9</v>
      </c>
      <c r="I16" s="62">
        <f>SUM(I18:I21)</f>
        <v>13077804.68</v>
      </c>
      <c r="J16" s="62">
        <f>SUM(J18:J21)</f>
        <v>13466238.711</v>
      </c>
    </row>
    <row r="17" spans="2:10" ht="12.75" customHeight="1">
      <c r="B17" s="132" t="s">
        <v>77</v>
      </c>
      <c r="C17" s="132"/>
      <c r="D17" s="132"/>
      <c r="E17" s="132"/>
      <c r="F17" s="132"/>
      <c r="G17" s="132"/>
      <c r="H17" s="49"/>
      <c r="I17" s="63"/>
      <c r="J17" s="63"/>
    </row>
    <row r="18" spans="2:10" ht="12.75" customHeight="1">
      <c r="B18" s="132" t="s">
        <v>153</v>
      </c>
      <c r="C18" s="132"/>
      <c r="D18" s="132"/>
      <c r="E18" s="132"/>
      <c r="F18" s="132"/>
      <c r="G18" s="132"/>
      <c r="H18" s="73" t="s">
        <v>10</v>
      </c>
      <c r="I18" s="72">
        <f>10509090.763-2</f>
        <v>10509088.763</v>
      </c>
      <c r="J18" s="72">
        <f>9729304.858</f>
        <v>9729304.858</v>
      </c>
    </row>
    <row r="19" spans="2:10" ht="12.75" customHeight="1">
      <c r="B19" s="132" t="s">
        <v>78</v>
      </c>
      <c r="C19" s="132"/>
      <c r="D19" s="132"/>
      <c r="E19" s="132"/>
      <c r="F19" s="132"/>
      <c r="G19" s="132"/>
      <c r="H19" s="48" t="s">
        <v>12</v>
      </c>
      <c r="I19" s="72">
        <f>2558456.917</f>
        <v>2558456.917</v>
      </c>
      <c r="J19" s="72">
        <f>2947926.48</f>
        <v>2947926.48</v>
      </c>
    </row>
    <row r="20" spans="2:10" ht="12.75" customHeight="1" hidden="1">
      <c r="B20" s="132" t="s">
        <v>79</v>
      </c>
      <c r="C20" s="132"/>
      <c r="D20" s="132"/>
      <c r="E20" s="132"/>
      <c r="F20" s="132"/>
      <c r="G20" s="132"/>
      <c r="H20" s="48" t="s">
        <v>13</v>
      </c>
      <c r="I20" s="72"/>
      <c r="J20" s="72"/>
    </row>
    <row r="21" spans="2:10" ht="12.75" customHeight="1">
      <c r="B21" s="132" t="s">
        <v>80</v>
      </c>
      <c r="C21" s="132"/>
      <c r="D21" s="132"/>
      <c r="E21" s="132"/>
      <c r="F21" s="132"/>
      <c r="G21" s="132"/>
      <c r="H21" s="48" t="s">
        <v>14</v>
      </c>
      <c r="I21" s="72">
        <v>10259</v>
      </c>
      <c r="J21" s="72">
        <v>789007.373</v>
      </c>
    </row>
    <row r="22" spans="2:10" ht="12.75" customHeight="1">
      <c r="B22" s="135" t="s">
        <v>100</v>
      </c>
      <c r="C22" s="135"/>
      <c r="D22" s="135"/>
      <c r="E22" s="135"/>
      <c r="F22" s="135"/>
      <c r="G22" s="135"/>
      <c r="H22" s="46" t="s">
        <v>17</v>
      </c>
      <c r="I22" s="47">
        <f>SUM(I24:I30)</f>
        <v>9741940.268</v>
      </c>
      <c r="J22" s="47">
        <f>SUM(J24:J30)</f>
        <v>9445678.501999998</v>
      </c>
    </row>
    <row r="23" spans="2:10" ht="12.75" customHeight="1">
      <c r="B23" s="132" t="s">
        <v>77</v>
      </c>
      <c r="C23" s="132"/>
      <c r="D23" s="132"/>
      <c r="E23" s="132"/>
      <c r="F23" s="132"/>
      <c r="G23" s="132"/>
      <c r="H23" s="49"/>
      <c r="I23" s="52"/>
      <c r="J23" s="52"/>
    </row>
    <row r="24" spans="2:10" ht="12.75" customHeight="1">
      <c r="B24" s="132" t="s">
        <v>81</v>
      </c>
      <c r="C24" s="132"/>
      <c r="D24" s="132"/>
      <c r="E24" s="132"/>
      <c r="F24" s="132"/>
      <c r="G24" s="132"/>
      <c r="H24" s="48" t="s">
        <v>18</v>
      </c>
      <c r="I24" s="72">
        <f>3130754.451</f>
        <v>3130754.451</v>
      </c>
      <c r="J24" s="72">
        <f>3259763.766</f>
        <v>3259763.766</v>
      </c>
    </row>
    <row r="25" spans="2:10" ht="12.75" customHeight="1">
      <c r="B25" s="132" t="s">
        <v>82</v>
      </c>
      <c r="C25" s="132"/>
      <c r="D25" s="132"/>
      <c r="E25" s="132"/>
      <c r="F25" s="132"/>
      <c r="G25" s="132"/>
      <c r="H25" s="48" t="s">
        <v>20</v>
      </c>
      <c r="I25" s="72">
        <f>4466007.345</f>
        <v>4466007.345</v>
      </c>
      <c r="J25" s="72">
        <f>4347187.299</f>
        <v>4347187.299</v>
      </c>
    </row>
    <row r="26" spans="2:10" ht="12.75" customHeight="1">
      <c r="B26" s="132" t="s">
        <v>83</v>
      </c>
      <c r="C26" s="132"/>
      <c r="D26" s="132"/>
      <c r="E26" s="132"/>
      <c r="F26" s="132"/>
      <c r="G26" s="132"/>
      <c r="H26" s="48" t="s">
        <v>22</v>
      </c>
      <c r="I26" s="72">
        <f>185245.882</f>
        <v>185245.882</v>
      </c>
      <c r="J26" s="72">
        <f>106607.713</f>
        <v>106607.713</v>
      </c>
    </row>
    <row r="27" spans="2:10" ht="12.75" customHeight="1">
      <c r="B27" s="132" t="s">
        <v>84</v>
      </c>
      <c r="C27" s="132"/>
      <c r="D27" s="132"/>
      <c r="E27" s="132"/>
      <c r="F27" s="132"/>
      <c r="G27" s="132"/>
      <c r="H27" s="48" t="s">
        <v>24</v>
      </c>
      <c r="I27" s="72">
        <v>1140352</v>
      </c>
      <c r="J27" s="72">
        <f>905574.138</f>
        <v>905574.138</v>
      </c>
    </row>
    <row r="28" spans="2:10" ht="12">
      <c r="B28" s="132" t="s">
        <v>85</v>
      </c>
      <c r="C28" s="132"/>
      <c r="D28" s="132"/>
      <c r="E28" s="132"/>
      <c r="F28" s="132"/>
      <c r="G28" s="132"/>
      <c r="H28" s="48" t="s">
        <v>26</v>
      </c>
      <c r="I28" s="72">
        <f>116932.998</f>
        <v>116932.998</v>
      </c>
      <c r="J28" s="72">
        <f>106932.998</f>
        <v>106932.998</v>
      </c>
    </row>
    <row r="29" spans="2:10" ht="12.75" customHeight="1">
      <c r="B29" s="132" t="s">
        <v>86</v>
      </c>
      <c r="C29" s="132"/>
      <c r="D29" s="132"/>
      <c r="E29" s="132"/>
      <c r="F29" s="132"/>
      <c r="G29" s="132"/>
      <c r="H29" s="48" t="s">
        <v>28</v>
      </c>
      <c r="I29" s="72">
        <f>665995.57</f>
        <v>665995.57</v>
      </c>
      <c r="J29" s="72">
        <f>684200.406</f>
        <v>684200.406</v>
      </c>
    </row>
    <row r="30" spans="2:10" ht="12.75" customHeight="1">
      <c r="B30" s="132" t="s">
        <v>87</v>
      </c>
      <c r="C30" s="132"/>
      <c r="D30" s="132"/>
      <c r="E30" s="132"/>
      <c r="F30" s="132"/>
      <c r="G30" s="132"/>
      <c r="H30" s="48" t="s">
        <v>30</v>
      </c>
      <c r="I30" s="72">
        <f>36652.022</f>
        <v>36652.022</v>
      </c>
      <c r="J30" s="72">
        <f>35412.182</f>
        <v>35412.182</v>
      </c>
    </row>
    <row r="31" spans="2:10" ht="25.5" customHeight="1">
      <c r="B31" s="136" t="s">
        <v>88</v>
      </c>
      <c r="C31" s="136"/>
      <c r="D31" s="136"/>
      <c r="E31" s="136"/>
      <c r="F31" s="136"/>
      <c r="G31" s="136"/>
      <c r="H31" s="46" t="s">
        <v>34</v>
      </c>
      <c r="I31" s="47">
        <f>I16-I22+1</f>
        <v>3335865.4120000005</v>
      </c>
      <c r="J31" s="47">
        <f>J16-J22</f>
        <v>4020560.2090000007</v>
      </c>
    </row>
    <row r="32" spans="2:10" ht="12.75" customHeight="1">
      <c r="B32" s="134" t="s">
        <v>89</v>
      </c>
      <c r="C32" s="134"/>
      <c r="D32" s="134"/>
      <c r="E32" s="134"/>
      <c r="F32" s="134"/>
      <c r="G32" s="134"/>
      <c r="H32" s="134"/>
      <c r="I32" s="134"/>
      <c r="J32" s="96"/>
    </row>
    <row r="33" spans="2:10" ht="12.75" customHeight="1">
      <c r="B33" s="135" t="s">
        <v>90</v>
      </c>
      <c r="C33" s="135"/>
      <c r="D33" s="135"/>
      <c r="E33" s="135"/>
      <c r="F33" s="135"/>
      <c r="G33" s="135"/>
      <c r="H33" s="46" t="s">
        <v>39</v>
      </c>
      <c r="I33" s="47">
        <f>SUM(I35:I41)</f>
        <v>0</v>
      </c>
      <c r="J33" s="47">
        <f>SUM(J35:J41)</f>
        <v>43029.856</v>
      </c>
    </row>
    <row r="34" spans="2:10" ht="12.75" customHeight="1">
      <c r="B34" s="132" t="s">
        <v>77</v>
      </c>
      <c r="C34" s="132"/>
      <c r="D34" s="132"/>
      <c r="E34" s="132"/>
      <c r="F34" s="132"/>
      <c r="G34" s="132"/>
      <c r="H34" s="49"/>
      <c r="I34" s="52"/>
      <c r="J34" s="52"/>
    </row>
    <row r="35" spans="2:10" ht="12.75" customHeight="1">
      <c r="B35" s="132" t="s">
        <v>91</v>
      </c>
      <c r="C35" s="132"/>
      <c r="D35" s="132"/>
      <c r="E35" s="132"/>
      <c r="F35" s="132"/>
      <c r="G35" s="132"/>
      <c r="H35" s="48" t="s">
        <v>40</v>
      </c>
      <c r="I35" s="72"/>
      <c r="J35" s="72">
        <v>33528.856</v>
      </c>
    </row>
    <row r="36" spans="2:10" ht="12.75" customHeight="1">
      <c r="B36" s="132" t="s">
        <v>92</v>
      </c>
      <c r="C36" s="132"/>
      <c r="D36" s="132"/>
      <c r="E36" s="132"/>
      <c r="F36" s="132"/>
      <c r="G36" s="132"/>
      <c r="H36" s="48" t="s">
        <v>41</v>
      </c>
      <c r="I36" s="53"/>
      <c r="J36" s="53">
        <v>9501</v>
      </c>
    </row>
    <row r="37" spans="2:10" ht="12.75" customHeight="1" hidden="1">
      <c r="B37" s="132" t="s">
        <v>93</v>
      </c>
      <c r="C37" s="132"/>
      <c r="D37" s="132"/>
      <c r="E37" s="132"/>
      <c r="F37" s="132"/>
      <c r="G37" s="132"/>
      <c r="H37" s="48" t="s">
        <v>42</v>
      </c>
      <c r="I37" s="53"/>
      <c r="J37" s="53"/>
    </row>
    <row r="38" spans="2:10" ht="12.75" customHeight="1" hidden="1">
      <c r="B38" s="132" t="s">
        <v>94</v>
      </c>
      <c r="C38" s="132"/>
      <c r="D38" s="132"/>
      <c r="E38" s="132"/>
      <c r="F38" s="132"/>
      <c r="G38" s="132"/>
      <c r="H38" s="48" t="s">
        <v>43</v>
      </c>
      <c r="I38" s="53"/>
      <c r="J38" s="53"/>
    </row>
    <row r="39" spans="2:10" ht="12.75" customHeight="1" hidden="1">
      <c r="B39" s="132" t="s">
        <v>95</v>
      </c>
      <c r="C39" s="132"/>
      <c r="D39" s="132"/>
      <c r="E39" s="132"/>
      <c r="F39" s="132"/>
      <c r="G39" s="132"/>
      <c r="H39" s="48" t="s">
        <v>96</v>
      </c>
      <c r="I39" s="53"/>
      <c r="J39" s="53"/>
    </row>
    <row r="40" spans="2:10" ht="12" hidden="1">
      <c r="B40" s="132" t="s">
        <v>97</v>
      </c>
      <c r="C40" s="132"/>
      <c r="D40" s="132"/>
      <c r="E40" s="132"/>
      <c r="F40" s="132"/>
      <c r="G40" s="132"/>
      <c r="H40" s="48" t="s">
        <v>98</v>
      </c>
      <c r="I40" s="53"/>
      <c r="J40" s="53"/>
    </row>
    <row r="41" spans="2:10" ht="12.75" customHeight="1">
      <c r="B41" s="132" t="s">
        <v>80</v>
      </c>
      <c r="C41" s="132"/>
      <c r="D41" s="132"/>
      <c r="E41" s="132"/>
      <c r="F41" s="132"/>
      <c r="G41" s="132"/>
      <c r="H41" s="48" t="s">
        <v>99</v>
      </c>
      <c r="I41" s="53"/>
      <c r="J41" s="53"/>
    </row>
    <row r="42" spans="2:10" ht="12.75" customHeight="1">
      <c r="B42" s="135" t="s">
        <v>100</v>
      </c>
      <c r="C42" s="135"/>
      <c r="D42" s="135"/>
      <c r="E42" s="135"/>
      <c r="F42" s="135"/>
      <c r="G42" s="135"/>
      <c r="H42" s="46" t="s">
        <v>46</v>
      </c>
      <c r="I42" s="47">
        <f>I43+I44+I45+I46+I49+I50</f>
        <v>5299401.076</v>
      </c>
      <c r="J42" s="47">
        <f>J43+J44+J45+J46+J49+J50</f>
        <v>3850721.675</v>
      </c>
    </row>
    <row r="43" spans="2:10" ht="12.75" customHeight="1">
      <c r="B43" s="132" t="s">
        <v>77</v>
      </c>
      <c r="C43" s="132"/>
      <c r="D43" s="132"/>
      <c r="E43" s="132"/>
      <c r="F43" s="132"/>
      <c r="G43" s="132"/>
      <c r="H43" s="49"/>
      <c r="I43" s="52"/>
      <c r="J43" s="52"/>
    </row>
    <row r="44" spans="2:10" ht="12.75" customHeight="1">
      <c r="B44" s="132" t="s">
        <v>150</v>
      </c>
      <c r="C44" s="132"/>
      <c r="D44" s="132"/>
      <c r="E44" s="132"/>
      <c r="F44" s="132"/>
      <c r="G44" s="132"/>
      <c r="H44" s="48" t="s">
        <v>48</v>
      </c>
      <c r="I44" s="72">
        <v>5010457.639</v>
      </c>
      <c r="J44" s="72">
        <v>2701202.292</v>
      </c>
    </row>
    <row r="45" spans="2:10" ht="12.75" customHeight="1">
      <c r="B45" s="132" t="s">
        <v>101</v>
      </c>
      <c r="C45" s="132"/>
      <c r="D45" s="132"/>
      <c r="E45" s="132"/>
      <c r="F45" s="132"/>
      <c r="G45" s="132"/>
      <c r="H45" s="48" t="s">
        <v>50</v>
      </c>
      <c r="I45" s="72"/>
      <c r="J45" s="72"/>
    </row>
    <row r="46" spans="2:10" ht="12.75" customHeight="1">
      <c r="B46" s="132" t="s">
        <v>102</v>
      </c>
      <c r="C46" s="132"/>
      <c r="D46" s="132"/>
      <c r="E46" s="132"/>
      <c r="F46" s="132"/>
      <c r="G46" s="132"/>
      <c r="H46" s="48" t="s">
        <v>51</v>
      </c>
      <c r="I46" s="72"/>
      <c r="J46" s="72"/>
    </row>
    <row r="47" spans="2:10" ht="12.75" customHeight="1" hidden="1">
      <c r="B47" s="132" t="s">
        <v>103</v>
      </c>
      <c r="C47" s="132"/>
      <c r="D47" s="132"/>
      <c r="E47" s="132"/>
      <c r="F47" s="132"/>
      <c r="G47" s="132"/>
      <c r="H47" s="48" t="s">
        <v>52</v>
      </c>
      <c r="I47" s="72"/>
      <c r="J47" s="72"/>
    </row>
    <row r="48" spans="2:10" ht="12.75" customHeight="1" hidden="1">
      <c r="B48" s="132" t="s">
        <v>104</v>
      </c>
      <c r="C48" s="132"/>
      <c r="D48" s="132"/>
      <c r="E48" s="132"/>
      <c r="F48" s="132"/>
      <c r="G48" s="132"/>
      <c r="H48" s="48" t="s">
        <v>54</v>
      </c>
      <c r="I48" s="72"/>
      <c r="J48" s="72"/>
    </row>
    <row r="49" spans="2:10" ht="12">
      <c r="B49" s="132" t="s">
        <v>97</v>
      </c>
      <c r="C49" s="132"/>
      <c r="D49" s="132"/>
      <c r="E49" s="132"/>
      <c r="F49" s="132"/>
      <c r="G49" s="132"/>
      <c r="H49" s="48" t="s">
        <v>105</v>
      </c>
      <c r="I49" s="72"/>
      <c r="J49" s="72"/>
    </row>
    <row r="50" spans="2:10" ht="12.75" customHeight="1">
      <c r="B50" s="132" t="s">
        <v>141</v>
      </c>
      <c r="C50" s="132"/>
      <c r="D50" s="132"/>
      <c r="E50" s="132"/>
      <c r="F50" s="132"/>
      <c r="G50" s="132"/>
      <c r="H50" s="48" t="s">
        <v>106</v>
      </c>
      <c r="I50" s="72">
        <v>288943.437</v>
      </c>
      <c r="J50" s="72">
        <v>1149519.383</v>
      </c>
    </row>
    <row r="51" spans="2:11" ht="25.5" customHeight="1">
      <c r="B51" s="136" t="s">
        <v>107</v>
      </c>
      <c r="C51" s="136"/>
      <c r="D51" s="136"/>
      <c r="E51" s="136"/>
      <c r="F51" s="136"/>
      <c r="G51" s="136"/>
      <c r="H51" s="46" t="s">
        <v>66</v>
      </c>
      <c r="I51" s="47">
        <f>I33-I42</f>
        <v>-5299401.076</v>
      </c>
      <c r="J51" s="47">
        <f>J33-J42</f>
        <v>-3807691.8189999997</v>
      </c>
      <c r="K51" s="51"/>
    </row>
    <row r="52" spans="2:10" ht="12.75" customHeight="1">
      <c r="B52" s="134" t="s">
        <v>108</v>
      </c>
      <c r="C52" s="134"/>
      <c r="D52" s="134"/>
      <c r="E52" s="134"/>
      <c r="F52" s="134"/>
      <c r="G52" s="134"/>
      <c r="H52" s="134"/>
      <c r="I52" s="134"/>
      <c r="J52" s="96"/>
    </row>
    <row r="53" spans="2:10" ht="12.75" customHeight="1">
      <c r="B53" s="135" t="s">
        <v>90</v>
      </c>
      <c r="C53" s="135"/>
      <c r="D53" s="135"/>
      <c r="E53" s="135"/>
      <c r="F53" s="135"/>
      <c r="G53" s="135"/>
      <c r="H53" s="46" t="s">
        <v>67</v>
      </c>
      <c r="I53" s="47">
        <f>SUM(I55:I58)</f>
        <v>19696749.706</v>
      </c>
      <c r="J53" s="47">
        <f>SUM(J55:J58)</f>
        <v>26092540.112</v>
      </c>
    </row>
    <row r="54" spans="2:10" ht="12.75" customHeight="1">
      <c r="B54" s="132" t="s">
        <v>77</v>
      </c>
      <c r="C54" s="132"/>
      <c r="D54" s="132"/>
      <c r="E54" s="132"/>
      <c r="F54" s="132"/>
      <c r="G54" s="132"/>
      <c r="H54" s="49"/>
      <c r="I54" s="52"/>
      <c r="J54" s="52"/>
    </row>
    <row r="55" spans="2:10" ht="12.75" customHeight="1">
      <c r="B55" s="132" t="s">
        <v>109</v>
      </c>
      <c r="C55" s="132"/>
      <c r="D55" s="132"/>
      <c r="E55" s="132"/>
      <c r="F55" s="132"/>
      <c r="G55" s="132"/>
      <c r="H55" s="48" t="s">
        <v>110</v>
      </c>
      <c r="I55" s="53"/>
      <c r="J55" s="53">
        <v>14782727.046</v>
      </c>
    </row>
    <row r="56" spans="2:10" ht="12.75" customHeight="1">
      <c r="B56" s="132" t="s">
        <v>111</v>
      </c>
      <c r="C56" s="132"/>
      <c r="D56" s="132"/>
      <c r="E56" s="132"/>
      <c r="F56" s="132"/>
      <c r="G56" s="132"/>
      <c r="H56" s="48" t="s">
        <v>112</v>
      </c>
      <c r="I56" s="72"/>
      <c r="J56" s="72">
        <v>4839543.279</v>
      </c>
    </row>
    <row r="57" spans="2:10" ht="12.75" customHeight="1">
      <c r="B57" s="132" t="s">
        <v>213</v>
      </c>
      <c r="C57" s="132"/>
      <c r="D57" s="132"/>
      <c r="E57" s="132"/>
      <c r="F57" s="132"/>
      <c r="G57" s="132"/>
      <c r="H57" s="48" t="s">
        <v>113</v>
      </c>
      <c r="I57" s="72">
        <f>3005400</f>
        <v>3005400</v>
      </c>
      <c r="J57" s="72"/>
    </row>
    <row r="58" spans="2:10" ht="12.75" customHeight="1">
      <c r="B58" s="132" t="s">
        <v>80</v>
      </c>
      <c r="C58" s="132"/>
      <c r="D58" s="132"/>
      <c r="E58" s="132"/>
      <c r="F58" s="132"/>
      <c r="G58" s="132"/>
      <c r="H58" s="48" t="s">
        <v>114</v>
      </c>
      <c r="I58" s="72">
        <f>16691349.706</f>
        <v>16691349.706</v>
      </c>
      <c r="J58" s="72">
        <f>6470269.787</f>
        <v>6470269.787</v>
      </c>
    </row>
    <row r="59" spans="2:10" ht="12.75" customHeight="1">
      <c r="B59" s="135" t="s">
        <v>100</v>
      </c>
      <c r="C59" s="135"/>
      <c r="D59" s="135"/>
      <c r="E59" s="135"/>
      <c r="F59" s="135"/>
      <c r="G59" s="135"/>
      <c r="H59" s="46" t="s">
        <v>68</v>
      </c>
      <c r="I59" s="47">
        <f>SUM(I61:I64)+1</f>
        <v>22260568.433000002</v>
      </c>
      <c r="J59" s="47">
        <f>SUM(J61:J64)</f>
        <v>21419450.942</v>
      </c>
    </row>
    <row r="60" spans="2:10" ht="12.75" customHeight="1">
      <c r="B60" s="132" t="s">
        <v>77</v>
      </c>
      <c r="C60" s="132"/>
      <c r="D60" s="132"/>
      <c r="E60" s="132"/>
      <c r="F60" s="132"/>
      <c r="G60" s="132"/>
      <c r="H60" s="49"/>
      <c r="I60" s="52"/>
      <c r="J60" s="52"/>
    </row>
    <row r="61" spans="2:10" ht="12.75" customHeight="1">
      <c r="B61" s="132" t="s">
        <v>115</v>
      </c>
      <c r="C61" s="132"/>
      <c r="D61" s="132"/>
      <c r="E61" s="132"/>
      <c r="F61" s="132"/>
      <c r="G61" s="132"/>
      <c r="H61" s="48" t="s">
        <v>116</v>
      </c>
      <c r="I61" s="72">
        <f>1982810.633</f>
        <v>1982810.633</v>
      </c>
      <c r="J61" s="72">
        <f>11427924.548</f>
        <v>11427924.548</v>
      </c>
    </row>
    <row r="62" spans="2:10" ht="12.75" customHeight="1">
      <c r="B62" s="132" t="s">
        <v>117</v>
      </c>
      <c r="C62" s="132"/>
      <c r="D62" s="132"/>
      <c r="E62" s="132"/>
      <c r="F62" s="132"/>
      <c r="G62" s="132"/>
      <c r="H62" s="48" t="s">
        <v>118</v>
      </c>
      <c r="I62" s="72"/>
      <c r="J62" s="72"/>
    </row>
    <row r="63" spans="2:10" ht="12.75" customHeight="1">
      <c r="B63" s="132" t="s">
        <v>119</v>
      </c>
      <c r="C63" s="132"/>
      <c r="D63" s="132"/>
      <c r="E63" s="132"/>
      <c r="F63" s="132"/>
      <c r="G63" s="132"/>
      <c r="H63" s="48" t="s">
        <v>120</v>
      </c>
      <c r="I63" s="72"/>
      <c r="J63" s="72">
        <v>1471028.754</v>
      </c>
    </row>
    <row r="64" spans="2:10" ht="12.75" customHeight="1">
      <c r="B64" s="132" t="s">
        <v>87</v>
      </c>
      <c r="C64" s="132"/>
      <c r="D64" s="132"/>
      <c r="E64" s="132"/>
      <c r="F64" s="132"/>
      <c r="G64" s="132"/>
      <c r="H64" s="48" t="s">
        <v>121</v>
      </c>
      <c r="I64" s="72">
        <f>20277756.8</f>
        <v>20277756.8</v>
      </c>
      <c r="J64" s="72">
        <f>8520497.64</f>
        <v>8520497.64</v>
      </c>
    </row>
    <row r="65" spans="2:10" ht="25.5" customHeight="1">
      <c r="B65" s="136" t="s">
        <v>122</v>
      </c>
      <c r="C65" s="136"/>
      <c r="D65" s="136"/>
      <c r="E65" s="136"/>
      <c r="F65" s="136"/>
      <c r="G65" s="136"/>
      <c r="H65" s="46" t="s">
        <v>69</v>
      </c>
      <c r="I65" s="47">
        <f>I53-I59+1</f>
        <v>-2563817.727000002</v>
      </c>
      <c r="J65" s="47">
        <f>J53-J59</f>
        <v>4673089.169999998</v>
      </c>
    </row>
    <row r="66" spans="2:10" ht="12.75" customHeight="1">
      <c r="B66" s="140" t="s">
        <v>152</v>
      </c>
      <c r="C66" s="140"/>
      <c r="D66" s="140"/>
      <c r="E66" s="140"/>
      <c r="F66" s="140"/>
      <c r="G66" s="140"/>
      <c r="H66" s="49"/>
      <c r="I66" s="47">
        <v>1597.237</v>
      </c>
      <c r="J66" s="47">
        <v>-15033.815</v>
      </c>
    </row>
    <row r="67" spans="2:10" ht="25.5" customHeight="1">
      <c r="B67" s="136" t="s">
        <v>123</v>
      </c>
      <c r="C67" s="136"/>
      <c r="D67" s="136"/>
      <c r="E67" s="136"/>
      <c r="F67" s="136"/>
      <c r="G67" s="136"/>
      <c r="H67" s="49"/>
      <c r="I67" s="54">
        <f>I31+I51+I65+I66-1</f>
        <v>-4525757.154000002</v>
      </c>
      <c r="J67" s="54">
        <f>J31+J51+J65+J66-1</f>
        <v>4870922.744999998</v>
      </c>
    </row>
    <row r="68" spans="2:10" ht="24.75" customHeight="1">
      <c r="B68" s="136" t="s">
        <v>124</v>
      </c>
      <c r="C68" s="136"/>
      <c r="D68" s="136"/>
      <c r="E68" s="136"/>
      <c r="F68" s="136"/>
      <c r="G68" s="136"/>
      <c r="H68" s="49"/>
      <c r="I68" s="62">
        <v>4955872</v>
      </c>
      <c r="J68" s="62">
        <v>84949</v>
      </c>
    </row>
    <row r="69" spans="2:13" ht="25.5" customHeight="1">
      <c r="B69" s="136" t="s">
        <v>125</v>
      </c>
      <c r="C69" s="136"/>
      <c r="D69" s="136"/>
      <c r="E69" s="136"/>
      <c r="F69" s="136"/>
      <c r="G69" s="136"/>
      <c r="H69" s="49"/>
      <c r="I69" s="62">
        <f>I68+I67</f>
        <v>430114.84599999804</v>
      </c>
      <c r="J69" s="62">
        <f>J68+J67</f>
        <v>4955871.744999998</v>
      </c>
      <c r="M69" s="51"/>
    </row>
    <row r="70" spans="2:11" ht="12.75" customHeight="1">
      <c r="B70" s="39" t="s">
        <v>57</v>
      </c>
      <c r="I70" s="50"/>
      <c r="J70" s="50"/>
      <c r="K70" s="51"/>
    </row>
    <row r="71" spans="3:10" ht="12.75" customHeight="1">
      <c r="C71" s="137" t="s">
        <v>58</v>
      </c>
      <c r="D71" s="137"/>
      <c r="E71" s="138" t="s">
        <v>59</v>
      </c>
      <c r="F71" s="138"/>
      <c r="G71" s="138"/>
      <c r="H71" s="138"/>
      <c r="I71" s="59"/>
      <c r="J71" s="59"/>
    </row>
    <row r="72" spans="4:10" ht="12.75" customHeight="1">
      <c r="D72" s="39" t="s">
        <v>61</v>
      </c>
      <c r="I72" s="58" t="s">
        <v>62</v>
      </c>
      <c r="J72" s="58" t="s">
        <v>62</v>
      </c>
    </row>
    <row r="73" spans="3:10" ht="12.75" customHeight="1">
      <c r="C73" s="139" t="s">
        <v>63</v>
      </c>
      <c r="D73" s="139"/>
      <c r="E73" s="138" t="s">
        <v>149</v>
      </c>
      <c r="F73" s="138"/>
      <c r="G73" s="138"/>
      <c r="H73" s="138"/>
      <c r="I73" s="57" t="s">
        <v>60</v>
      </c>
      <c r="J73" s="57" t="s">
        <v>60</v>
      </c>
    </row>
    <row r="74" spans="4:10" ht="12.75" customHeight="1">
      <c r="D74" s="39" t="s">
        <v>61</v>
      </c>
      <c r="I74" s="58" t="s">
        <v>62</v>
      </c>
      <c r="J74" s="58" t="s">
        <v>62</v>
      </c>
    </row>
    <row r="75" ht="12.75">
      <c r="C75" s="40" t="s">
        <v>64</v>
      </c>
    </row>
    <row r="77" spans="9:10" ht="12">
      <c r="I77" s="51"/>
      <c r="J77" s="51"/>
    </row>
    <row r="78" spans="9:10" ht="12">
      <c r="I78" s="51"/>
      <c r="J78" s="51"/>
    </row>
  </sheetData>
  <sheetProtection/>
  <mergeCells count="75">
    <mergeCell ref="C71:D71"/>
    <mergeCell ref="E71:H71"/>
    <mergeCell ref="C73:D73"/>
    <mergeCell ref="E73:H73"/>
    <mergeCell ref="B64:G64"/>
    <mergeCell ref="B65:G65"/>
    <mergeCell ref="B67:G67"/>
    <mergeCell ref="B68:G68"/>
    <mergeCell ref="B66:G66"/>
    <mergeCell ref="B69:G69"/>
    <mergeCell ref="B58:G58"/>
    <mergeCell ref="B59:G59"/>
    <mergeCell ref="B60:G60"/>
    <mergeCell ref="B61:G61"/>
    <mergeCell ref="B62:G62"/>
    <mergeCell ref="B63:G63"/>
    <mergeCell ref="B52:I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I32"/>
    <mergeCell ref="B33:G33"/>
    <mergeCell ref="B22:G22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13:G14"/>
    <mergeCell ref="B15:I15"/>
    <mergeCell ref="B16:G16"/>
    <mergeCell ref="G9:I9"/>
    <mergeCell ref="B10:F10"/>
    <mergeCell ref="G10:I10"/>
    <mergeCell ref="B11:F11"/>
    <mergeCell ref="G11:L11"/>
    <mergeCell ref="B17:G17"/>
    <mergeCell ref="H13:H14"/>
    <mergeCell ref="I13:I14"/>
    <mergeCell ref="B9:F9"/>
    <mergeCell ref="J13:J14"/>
    <mergeCell ref="D4:I4"/>
    <mergeCell ref="D5:I5"/>
    <mergeCell ref="D6:I6"/>
    <mergeCell ref="D7:I7"/>
    <mergeCell ref="B8:F8"/>
    <mergeCell ref="G8:I8"/>
  </mergeCells>
  <printOptions/>
  <pageMargins left="0.7874015748031497" right="0" top="0" bottom="0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O78"/>
  <sheetViews>
    <sheetView zoomScalePageLayoutView="0" workbookViewId="0" topLeftCell="A1">
      <selection activeCell="I28" sqref="I28"/>
    </sheetView>
  </sheetViews>
  <sheetFormatPr defaultColWidth="8.140625" defaultRowHeight="12.75"/>
  <cols>
    <col min="1" max="1" width="2.28125" style="39" customWidth="1"/>
    <col min="2" max="2" width="3.28125" style="39" customWidth="1"/>
    <col min="3" max="3" width="3.8515625" style="39" customWidth="1"/>
    <col min="4" max="4" width="9.140625" style="39" customWidth="1"/>
    <col min="5" max="5" width="11.57421875" style="39" customWidth="1"/>
    <col min="6" max="6" width="11.28125" style="39" customWidth="1"/>
    <col min="7" max="7" width="14.140625" style="39" customWidth="1"/>
    <col min="8" max="8" width="6.8515625" style="39" customWidth="1"/>
    <col min="9" max="9" width="14.421875" style="39" customWidth="1"/>
    <col min="10" max="10" width="11.8515625" style="39" customWidth="1"/>
    <col min="11" max="11" width="13.28125" style="39" customWidth="1"/>
    <col min="12" max="12" width="8.140625" style="39" customWidth="1"/>
    <col min="13" max="13" width="8.57421875" style="39" bestFit="1" customWidth="1"/>
    <col min="14" max="16384" width="8.140625" style="39" customWidth="1"/>
  </cols>
  <sheetData>
    <row r="1" ht="12.75" customHeight="1"/>
    <row r="2" spans="6:9" s="40" customFormat="1" ht="12.75" customHeight="1">
      <c r="F2" s="41"/>
      <c r="G2" s="41"/>
      <c r="H2" s="41"/>
      <c r="I2" s="41"/>
    </row>
    <row r="3" spans="6:9" s="40" customFormat="1" ht="12.75" customHeight="1">
      <c r="F3" s="41"/>
      <c r="G3" s="41"/>
      <c r="H3" s="41"/>
      <c r="I3" s="41"/>
    </row>
    <row r="4" spans="3:9" s="42" customFormat="1" ht="12.75" customHeight="1">
      <c r="C4" s="43"/>
      <c r="D4" s="123" t="s">
        <v>74</v>
      </c>
      <c r="E4" s="123"/>
      <c r="F4" s="123"/>
      <c r="G4" s="123"/>
      <c r="H4" s="123"/>
      <c r="I4" s="123"/>
    </row>
    <row r="5" spans="4:9" ht="12">
      <c r="D5" s="124" t="s">
        <v>201</v>
      </c>
      <c r="E5" s="124"/>
      <c r="F5" s="124"/>
      <c r="G5" s="124"/>
      <c r="H5" s="124"/>
      <c r="I5" s="124"/>
    </row>
    <row r="6" spans="4:9" ht="12.75" customHeight="1">
      <c r="D6" s="125" t="s">
        <v>75</v>
      </c>
      <c r="E6" s="125"/>
      <c r="F6" s="125"/>
      <c r="G6" s="125"/>
      <c r="H6" s="125"/>
      <c r="I6" s="125"/>
    </row>
    <row r="7" spans="4:9" ht="12.75">
      <c r="D7" s="125"/>
      <c r="E7" s="125"/>
      <c r="F7" s="125"/>
      <c r="G7" s="125"/>
      <c r="H7" s="125"/>
      <c r="I7" s="125"/>
    </row>
    <row r="8" spans="2:9" s="44" customFormat="1" ht="17.25" customHeight="1">
      <c r="B8" s="126" t="s">
        <v>0</v>
      </c>
      <c r="C8" s="126"/>
      <c r="D8" s="126"/>
      <c r="E8" s="126"/>
      <c r="F8" s="126"/>
      <c r="G8" s="127" t="s">
        <v>1</v>
      </c>
      <c r="H8" s="127"/>
      <c r="I8" s="127"/>
    </row>
    <row r="9" spans="2:11" s="40" customFormat="1" ht="12.75" customHeight="1">
      <c r="B9" s="129" t="s">
        <v>2</v>
      </c>
      <c r="C9" s="129"/>
      <c r="D9" s="129"/>
      <c r="E9" s="129"/>
      <c r="F9" s="129"/>
      <c r="G9" s="128" t="s">
        <v>3</v>
      </c>
      <c r="H9" s="128"/>
      <c r="I9" s="128"/>
      <c r="J9" s="44"/>
      <c r="K9" s="44"/>
    </row>
    <row r="10" spans="2:9" s="40" customFormat="1" ht="12.75" customHeight="1">
      <c r="B10" s="129" t="s">
        <v>4</v>
      </c>
      <c r="C10" s="129"/>
      <c r="D10" s="129"/>
      <c r="E10" s="129"/>
      <c r="F10" s="129"/>
      <c r="G10" s="130" t="s">
        <v>5</v>
      </c>
      <c r="H10" s="130"/>
      <c r="I10" s="130"/>
    </row>
    <row r="11" spans="2:11" s="40" customFormat="1" ht="12.75" customHeight="1">
      <c r="B11" s="129" t="s">
        <v>6</v>
      </c>
      <c r="C11" s="129"/>
      <c r="D11" s="129"/>
      <c r="E11" s="129"/>
      <c r="F11" s="129"/>
      <c r="G11" s="131" t="s">
        <v>133</v>
      </c>
      <c r="H11" s="131"/>
      <c r="I11" s="131"/>
      <c r="J11" s="131"/>
      <c r="K11" s="131"/>
    </row>
    <row r="12" spans="10:249" ht="12.75"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</row>
    <row r="13" spans="2:9" ht="12.75" customHeight="1">
      <c r="B13" s="134" t="s">
        <v>65</v>
      </c>
      <c r="C13" s="134"/>
      <c r="D13" s="134"/>
      <c r="E13" s="134"/>
      <c r="F13" s="134"/>
      <c r="G13" s="134"/>
      <c r="H13" s="133" t="s">
        <v>8</v>
      </c>
      <c r="I13" s="133" t="s">
        <v>202</v>
      </c>
    </row>
    <row r="14" spans="2:9" ht="42" customHeight="1">
      <c r="B14" s="134"/>
      <c r="C14" s="134"/>
      <c r="D14" s="134"/>
      <c r="E14" s="134"/>
      <c r="F14" s="134"/>
      <c r="G14" s="134"/>
      <c r="H14" s="133"/>
      <c r="I14" s="133"/>
    </row>
    <row r="15" spans="2:9" ht="12.75" customHeight="1">
      <c r="B15" s="134" t="s">
        <v>76</v>
      </c>
      <c r="C15" s="134"/>
      <c r="D15" s="134"/>
      <c r="E15" s="134"/>
      <c r="F15" s="134"/>
      <c r="G15" s="134"/>
      <c r="H15" s="134"/>
      <c r="I15" s="134"/>
    </row>
    <row r="16" spans="2:9" ht="12.75" customHeight="1">
      <c r="B16" s="135" t="s">
        <v>90</v>
      </c>
      <c r="C16" s="135"/>
      <c r="D16" s="135"/>
      <c r="E16" s="135"/>
      <c r="F16" s="135"/>
      <c r="G16" s="135"/>
      <c r="H16" s="46" t="s">
        <v>9</v>
      </c>
      <c r="I16" s="62">
        <f>SUM(I18:I21)</f>
        <v>38023119.092</v>
      </c>
    </row>
    <row r="17" spans="2:9" ht="12.75" customHeight="1">
      <c r="B17" s="132" t="s">
        <v>77</v>
      </c>
      <c r="C17" s="132"/>
      <c r="D17" s="132"/>
      <c r="E17" s="132"/>
      <c r="F17" s="132"/>
      <c r="G17" s="132"/>
      <c r="H17" s="49"/>
      <c r="I17" s="63"/>
    </row>
    <row r="18" spans="2:9" ht="12.75" customHeight="1">
      <c r="B18" s="132" t="s">
        <v>153</v>
      </c>
      <c r="C18" s="132"/>
      <c r="D18" s="132"/>
      <c r="E18" s="132"/>
      <c r="F18" s="132"/>
      <c r="G18" s="132"/>
      <c r="H18" s="73" t="s">
        <v>10</v>
      </c>
      <c r="I18" s="72">
        <f>28805175.709-2</f>
        <v>28805173.709</v>
      </c>
    </row>
    <row r="19" spans="2:9" ht="12.75" customHeight="1">
      <c r="B19" s="132" t="s">
        <v>78</v>
      </c>
      <c r="C19" s="132"/>
      <c r="D19" s="132"/>
      <c r="E19" s="132"/>
      <c r="F19" s="132"/>
      <c r="G19" s="132"/>
      <c r="H19" s="48" t="s">
        <v>12</v>
      </c>
      <c r="I19" s="72">
        <f>8341541.934</f>
        <v>8341541.934</v>
      </c>
    </row>
    <row r="20" spans="2:9" ht="12.75" customHeight="1" hidden="1">
      <c r="B20" s="132" t="s">
        <v>79</v>
      </c>
      <c r="C20" s="132"/>
      <c r="D20" s="132"/>
      <c r="E20" s="132"/>
      <c r="F20" s="132"/>
      <c r="G20" s="132"/>
      <c r="H20" s="48" t="s">
        <v>13</v>
      </c>
      <c r="I20" s="72"/>
    </row>
    <row r="21" spans="2:9" ht="12.75" customHeight="1">
      <c r="B21" s="132" t="s">
        <v>80</v>
      </c>
      <c r="C21" s="132"/>
      <c r="D21" s="132"/>
      <c r="E21" s="132"/>
      <c r="F21" s="132"/>
      <c r="G21" s="132"/>
      <c r="H21" s="48" t="s">
        <v>14</v>
      </c>
      <c r="I21" s="72">
        <f>1176401.449+2-300000</f>
        <v>876403.449</v>
      </c>
    </row>
    <row r="22" spans="2:9" ht="12.75" customHeight="1">
      <c r="B22" s="135" t="s">
        <v>100</v>
      </c>
      <c r="C22" s="135"/>
      <c r="D22" s="135"/>
      <c r="E22" s="135"/>
      <c r="F22" s="135"/>
      <c r="G22" s="135"/>
      <c r="H22" s="46" t="s">
        <v>17</v>
      </c>
      <c r="I22" s="47">
        <f>SUM(I24:I30)</f>
        <v>27514177.336</v>
      </c>
    </row>
    <row r="23" spans="2:9" ht="12.75" customHeight="1">
      <c r="B23" s="132" t="s">
        <v>77</v>
      </c>
      <c r="C23" s="132"/>
      <c r="D23" s="132"/>
      <c r="E23" s="132"/>
      <c r="F23" s="132"/>
      <c r="G23" s="132"/>
      <c r="H23" s="49"/>
      <c r="I23" s="52"/>
    </row>
    <row r="24" spans="2:9" ht="12.75" customHeight="1">
      <c r="B24" s="132" t="s">
        <v>81</v>
      </c>
      <c r="C24" s="132"/>
      <c r="D24" s="132"/>
      <c r="E24" s="132"/>
      <c r="F24" s="132"/>
      <c r="G24" s="132"/>
      <c r="H24" s="48" t="s">
        <v>18</v>
      </c>
      <c r="I24" s="72">
        <f>8944082.828</f>
        <v>8944082.828</v>
      </c>
    </row>
    <row r="25" spans="2:9" ht="12.75" customHeight="1">
      <c r="B25" s="132" t="s">
        <v>82</v>
      </c>
      <c r="C25" s="132"/>
      <c r="D25" s="132"/>
      <c r="E25" s="132"/>
      <c r="F25" s="132"/>
      <c r="G25" s="132"/>
      <c r="H25" s="48" t="s">
        <v>20</v>
      </c>
      <c r="I25" s="72">
        <f>12436329.313</f>
        <v>12436329.313</v>
      </c>
    </row>
    <row r="26" spans="2:9" ht="12.75" customHeight="1">
      <c r="B26" s="132" t="s">
        <v>83</v>
      </c>
      <c r="C26" s="132"/>
      <c r="D26" s="132"/>
      <c r="E26" s="132"/>
      <c r="F26" s="132"/>
      <c r="G26" s="132"/>
      <c r="H26" s="48" t="s">
        <v>22</v>
      </c>
      <c r="I26" s="72">
        <f>489059.458</f>
        <v>489059.458</v>
      </c>
    </row>
    <row r="27" spans="2:9" ht="12.75" customHeight="1">
      <c r="B27" s="132" t="s">
        <v>84</v>
      </c>
      <c r="C27" s="132"/>
      <c r="D27" s="132"/>
      <c r="E27" s="132"/>
      <c r="F27" s="132"/>
      <c r="G27" s="132"/>
      <c r="H27" s="48" t="s">
        <v>24</v>
      </c>
      <c r="I27" s="72">
        <f>3395725.073-300000</f>
        <v>3095725.073</v>
      </c>
    </row>
    <row r="28" spans="2:9" ht="12">
      <c r="B28" s="132" t="s">
        <v>85</v>
      </c>
      <c r="C28" s="132"/>
      <c r="D28" s="132"/>
      <c r="E28" s="132"/>
      <c r="F28" s="132"/>
      <c r="G28" s="132"/>
      <c r="H28" s="48" t="s">
        <v>26</v>
      </c>
      <c r="I28" s="72">
        <f>342615.997</f>
        <v>342615.997</v>
      </c>
    </row>
    <row r="29" spans="2:9" ht="12.75" customHeight="1">
      <c r="B29" s="132" t="s">
        <v>86</v>
      </c>
      <c r="C29" s="132"/>
      <c r="D29" s="132"/>
      <c r="E29" s="132"/>
      <c r="F29" s="132"/>
      <c r="G29" s="132"/>
      <c r="H29" s="48" t="s">
        <v>28</v>
      </c>
      <c r="I29" s="72">
        <f>2076948.013</f>
        <v>2076948.013</v>
      </c>
    </row>
    <row r="30" spans="2:9" ht="12.75" customHeight="1">
      <c r="B30" s="132" t="s">
        <v>87</v>
      </c>
      <c r="C30" s="132"/>
      <c r="D30" s="132"/>
      <c r="E30" s="132"/>
      <c r="F30" s="132"/>
      <c r="G30" s="132"/>
      <c r="H30" s="48" t="s">
        <v>30</v>
      </c>
      <c r="I30" s="72">
        <f>129416.654</f>
        <v>129416.654</v>
      </c>
    </row>
    <row r="31" spans="2:9" ht="25.5" customHeight="1">
      <c r="B31" s="136" t="s">
        <v>88</v>
      </c>
      <c r="C31" s="136"/>
      <c r="D31" s="136"/>
      <c r="E31" s="136"/>
      <c r="F31" s="136"/>
      <c r="G31" s="136"/>
      <c r="H31" s="46" t="s">
        <v>34</v>
      </c>
      <c r="I31" s="47">
        <f>I16-I22</f>
        <v>10508941.756000001</v>
      </c>
    </row>
    <row r="32" spans="2:9" ht="12.75" customHeight="1">
      <c r="B32" s="134" t="s">
        <v>89</v>
      </c>
      <c r="C32" s="134"/>
      <c r="D32" s="134"/>
      <c r="E32" s="134"/>
      <c r="F32" s="134"/>
      <c r="G32" s="134"/>
      <c r="H32" s="134"/>
      <c r="I32" s="134"/>
    </row>
    <row r="33" spans="2:9" ht="12.75" customHeight="1">
      <c r="B33" s="135" t="s">
        <v>90</v>
      </c>
      <c r="C33" s="135"/>
      <c r="D33" s="135"/>
      <c r="E33" s="135"/>
      <c r="F33" s="135"/>
      <c r="G33" s="135"/>
      <c r="H33" s="46" t="s">
        <v>39</v>
      </c>
      <c r="I33" s="47">
        <f>SUM(I35:I41)</f>
        <v>54991.710999999996</v>
      </c>
    </row>
    <row r="34" spans="2:9" ht="12.75" customHeight="1">
      <c r="B34" s="132" t="s">
        <v>77</v>
      </c>
      <c r="C34" s="132"/>
      <c r="D34" s="132"/>
      <c r="E34" s="132"/>
      <c r="F34" s="132"/>
      <c r="G34" s="132"/>
      <c r="H34" s="49"/>
      <c r="I34" s="52"/>
    </row>
    <row r="35" spans="2:9" ht="12.75" customHeight="1">
      <c r="B35" s="132" t="s">
        <v>91</v>
      </c>
      <c r="C35" s="132"/>
      <c r="D35" s="132"/>
      <c r="E35" s="132"/>
      <c r="F35" s="132"/>
      <c r="G35" s="132"/>
      <c r="H35" s="48" t="s">
        <v>40</v>
      </c>
      <c r="I35" s="72">
        <f>45491.111</f>
        <v>45491.111</v>
      </c>
    </row>
    <row r="36" spans="2:9" ht="12.75" customHeight="1">
      <c r="B36" s="132" t="s">
        <v>92</v>
      </c>
      <c r="C36" s="132"/>
      <c r="D36" s="132"/>
      <c r="E36" s="132"/>
      <c r="F36" s="132"/>
      <c r="G36" s="132"/>
      <c r="H36" s="48" t="s">
        <v>41</v>
      </c>
      <c r="I36" s="53">
        <f>9500.6</f>
        <v>9500.6</v>
      </c>
    </row>
    <row r="37" spans="2:9" ht="12.75" customHeight="1" hidden="1">
      <c r="B37" s="132" t="s">
        <v>93</v>
      </c>
      <c r="C37" s="132"/>
      <c r="D37" s="132"/>
      <c r="E37" s="132"/>
      <c r="F37" s="132"/>
      <c r="G37" s="132"/>
      <c r="H37" s="48" t="s">
        <v>42</v>
      </c>
      <c r="I37" s="53"/>
    </row>
    <row r="38" spans="2:9" ht="12.75" customHeight="1" hidden="1">
      <c r="B38" s="132" t="s">
        <v>94</v>
      </c>
      <c r="C38" s="132"/>
      <c r="D38" s="132"/>
      <c r="E38" s="132"/>
      <c r="F38" s="132"/>
      <c r="G38" s="132"/>
      <c r="H38" s="48" t="s">
        <v>43</v>
      </c>
      <c r="I38" s="53"/>
    </row>
    <row r="39" spans="2:9" ht="12.75" customHeight="1" hidden="1">
      <c r="B39" s="132" t="s">
        <v>95</v>
      </c>
      <c r="C39" s="132"/>
      <c r="D39" s="132"/>
      <c r="E39" s="132"/>
      <c r="F39" s="132"/>
      <c r="G39" s="132"/>
      <c r="H39" s="48" t="s">
        <v>96</v>
      </c>
      <c r="I39" s="53"/>
    </row>
    <row r="40" spans="2:9" ht="12" hidden="1">
      <c r="B40" s="132" t="s">
        <v>97</v>
      </c>
      <c r="C40" s="132"/>
      <c r="D40" s="132"/>
      <c r="E40" s="132"/>
      <c r="F40" s="132"/>
      <c r="G40" s="132"/>
      <c r="H40" s="48" t="s">
        <v>98</v>
      </c>
      <c r="I40" s="53"/>
    </row>
    <row r="41" spans="2:9" ht="12.75" customHeight="1">
      <c r="B41" s="132" t="s">
        <v>80</v>
      </c>
      <c r="C41" s="132"/>
      <c r="D41" s="132"/>
      <c r="E41" s="132"/>
      <c r="F41" s="132"/>
      <c r="G41" s="132"/>
      <c r="H41" s="48" t="s">
        <v>99</v>
      </c>
      <c r="I41" s="53"/>
    </row>
    <row r="42" spans="2:9" ht="12.75" customHeight="1">
      <c r="B42" s="135" t="s">
        <v>100</v>
      </c>
      <c r="C42" s="135"/>
      <c r="D42" s="135"/>
      <c r="E42" s="135"/>
      <c r="F42" s="135"/>
      <c r="G42" s="135"/>
      <c r="H42" s="46" t="s">
        <v>46</v>
      </c>
      <c r="I42" s="47">
        <f>I43+I44+I45+I46+I49+I50</f>
        <v>9661713.044</v>
      </c>
    </row>
    <row r="43" spans="2:9" ht="12.75" customHeight="1">
      <c r="B43" s="132" t="s">
        <v>77</v>
      </c>
      <c r="C43" s="132"/>
      <c r="D43" s="132"/>
      <c r="E43" s="132"/>
      <c r="F43" s="132"/>
      <c r="G43" s="132"/>
      <c r="H43" s="49"/>
      <c r="I43" s="52"/>
    </row>
    <row r="44" spans="2:9" ht="12.75" customHeight="1">
      <c r="B44" s="132" t="s">
        <v>150</v>
      </c>
      <c r="C44" s="132"/>
      <c r="D44" s="132"/>
      <c r="E44" s="132"/>
      <c r="F44" s="132"/>
      <c r="G44" s="132"/>
      <c r="H44" s="48" t="s">
        <v>48</v>
      </c>
      <c r="I44" s="72">
        <f>7813551.307</f>
        <v>7813551.307</v>
      </c>
    </row>
    <row r="45" spans="2:9" ht="12.75" customHeight="1">
      <c r="B45" s="132" t="s">
        <v>101</v>
      </c>
      <c r="C45" s="132"/>
      <c r="D45" s="132"/>
      <c r="E45" s="132"/>
      <c r="F45" s="132"/>
      <c r="G45" s="132"/>
      <c r="H45" s="48" t="s">
        <v>50</v>
      </c>
      <c r="I45" s="72"/>
    </row>
    <row r="46" spans="2:9" ht="12.75" customHeight="1">
      <c r="B46" s="132" t="s">
        <v>102</v>
      </c>
      <c r="C46" s="132"/>
      <c r="D46" s="132"/>
      <c r="E46" s="132"/>
      <c r="F46" s="132"/>
      <c r="G46" s="132"/>
      <c r="H46" s="48" t="s">
        <v>51</v>
      </c>
      <c r="I46" s="72"/>
    </row>
    <row r="47" spans="2:9" ht="12.75" customHeight="1" hidden="1">
      <c r="B47" s="132" t="s">
        <v>103</v>
      </c>
      <c r="C47" s="132"/>
      <c r="D47" s="132"/>
      <c r="E47" s="132"/>
      <c r="F47" s="132"/>
      <c r="G47" s="132"/>
      <c r="H47" s="48" t="s">
        <v>52</v>
      </c>
      <c r="I47" s="72"/>
    </row>
    <row r="48" spans="2:9" ht="12.75" customHeight="1" hidden="1">
      <c r="B48" s="132" t="s">
        <v>104</v>
      </c>
      <c r="C48" s="132"/>
      <c r="D48" s="132"/>
      <c r="E48" s="132"/>
      <c r="F48" s="132"/>
      <c r="G48" s="132"/>
      <c r="H48" s="48" t="s">
        <v>54</v>
      </c>
      <c r="I48" s="72"/>
    </row>
    <row r="49" spans="2:9" ht="12">
      <c r="B49" s="132" t="s">
        <v>97</v>
      </c>
      <c r="C49" s="132"/>
      <c r="D49" s="132"/>
      <c r="E49" s="132"/>
      <c r="F49" s="132"/>
      <c r="G49" s="132"/>
      <c r="H49" s="48" t="s">
        <v>105</v>
      </c>
      <c r="I49" s="72"/>
    </row>
    <row r="50" spans="2:9" ht="12.75" customHeight="1">
      <c r="B50" s="132" t="s">
        <v>141</v>
      </c>
      <c r="C50" s="132"/>
      <c r="D50" s="132"/>
      <c r="E50" s="132"/>
      <c r="F50" s="132"/>
      <c r="G50" s="132"/>
      <c r="H50" s="48" t="s">
        <v>106</v>
      </c>
      <c r="I50" s="72">
        <v>1848161.737</v>
      </c>
    </row>
    <row r="51" spans="2:10" ht="25.5" customHeight="1">
      <c r="B51" s="136" t="s">
        <v>107</v>
      </c>
      <c r="C51" s="136"/>
      <c r="D51" s="136"/>
      <c r="E51" s="136"/>
      <c r="F51" s="136"/>
      <c r="G51" s="136"/>
      <c r="H51" s="46" t="s">
        <v>66</v>
      </c>
      <c r="I51" s="47">
        <f>I33-I42</f>
        <v>-9606721.333</v>
      </c>
      <c r="J51" s="51"/>
    </row>
    <row r="52" spans="2:9" ht="12.75" customHeight="1">
      <c r="B52" s="134" t="s">
        <v>108</v>
      </c>
      <c r="C52" s="134"/>
      <c r="D52" s="134"/>
      <c r="E52" s="134"/>
      <c r="F52" s="134"/>
      <c r="G52" s="134"/>
      <c r="H52" s="134"/>
      <c r="I52" s="134"/>
    </row>
    <row r="53" spans="2:9" ht="12.75" customHeight="1">
      <c r="B53" s="135" t="s">
        <v>90</v>
      </c>
      <c r="C53" s="135"/>
      <c r="D53" s="135"/>
      <c r="E53" s="135"/>
      <c r="F53" s="135"/>
      <c r="G53" s="135"/>
      <c r="H53" s="46" t="s">
        <v>67</v>
      </c>
      <c r="I53" s="47">
        <f>SUM(I55:I58)-1</f>
        <v>45859514.53</v>
      </c>
    </row>
    <row r="54" spans="2:9" ht="12.75" customHeight="1">
      <c r="B54" s="132" t="s">
        <v>77</v>
      </c>
      <c r="C54" s="132"/>
      <c r="D54" s="132"/>
      <c r="E54" s="132"/>
      <c r="F54" s="132"/>
      <c r="G54" s="132"/>
      <c r="H54" s="49"/>
      <c r="I54" s="52"/>
    </row>
    <row r="55" spans="2:9" ht="12.75" customHeight="1">
      <c r="B55" s="132" t="s">
        <v>109</v>
      </c>
      <c r="C55" s="132"/>
      <c r="D55" s="132"/>
      <c r="E55" s="132"/>
      <c r="F55" s="132"/>
      <c r="G55" s="132"/>
      <c r="H55" s="48" t="s">
        <v>110</v>
      </c>
      <c r="I55" s="53">
        <f>14782727.046</f>
        <v>14782727.046</v>
      </c>
    </row>
    <row r="56" spans="2:9" ht="12.75" customHeight="1">
      <c r="B56" s="132" t="s">
        <v>111</v>
      </c>
      <c r="C56" s="132"/>
      <c r="D56" s="132"/>
      <c r="E56" s="132"/>
      <c r="F56" s="132"/>
      <c r="G56" s="132"/>
      <c r="H56" s="48" t="s">
        <v>112</v>
      </c>
      <c r="I56" s="72">
        <f>4839543.278</f>
        <v>4839543.278</v>
      </c>
    </row>
    <row r="57" spans="2:9" ht="12.75" customHeight="1">
      <c r="B57" s="132" t="s">
        <v>213</v>
      </c>
      <c r="C57" s="132"/>
      <c r="D57" s="132"/>
      <c r="E57" s="132"/>
      <c r="F57" s="132"/>
      <c r="G57" s="132"/>
      <c r="H57" s="48" t="s">
        <v>113</v>
      </c>
      <c r="I57" s="72">
        <v>3005400</v>
      </c>
    </row>
    <row r="58" spans="2:9" ht="12.75" customHeight="1">
      <c r="B58" s="132" t="s">
        <v>80</v>
      </c>
      <c r="C58" s="132"/>
      <c r="D58" s="132"/>
      <c r="E58" s="132"/>
      <c r="F58" s="132"/>
      <c r="G58" s="132"/>
      <c r="H58" s="48" t="s">
        <v>114</v>
      </c>
      <c r="I58" s="72">
        <f>23231845.206</f>
        <v>23231845.206</v>
      </c>
    </row>
    <row r="59" spans="2:9" ht="12.75" customHeight="1">
      <c r="B59" s="135" t="s">
        <v>100</v>
      </c>
      <c r="C59" s="135"/>
      <c r="D59" s="135"/>
      <c r="E59" s="135"/>
      <c r="F59" s="135"/>
      <c r="G59" s="135"/>
      <c r="H59" s="46" t="s">
        <v>68</v>
      </c>
      <c r="I59" s="47">
        <f>SUM(I61:I64)</f>
        <v>47351001.833000004</v>
      </c>
    </row>
    <row r="60" spans="2:9" ht="12.75" customHeight="1">
      <c r="B60" s="132" t="s">
        <v>77</v>
      </c>
      <c r="C60" s="132"/>
      <c r="D60" s="132"/>
      <c r="E60" s="132"/>
      <c r="F60" s="132"/>
      <c r="G60" s="132"/>
      <c r="H60" s="49"/>
      <c r="I60" s="52"/>
    </row>
    <row r="61" spans="2:9" ht="12.75" customHeight="1">
      <c r="B61" s="132" t="s">
        <v>115</v>
      </c>
      <c r="C61" s="132"/>
      <c r="D61" s="132"/>
      <c r="E61" s="132"/>
      <c r="F61" s="132"/>
      <c r="G61" s="132"/>
      <c r="H61" s="48" t="s">
        <v>116</v>
      </c>
      <c r="I61" s="72">
        <f>16276976.358</f>
        <v>16276976.358</v>
      </c>
    </row>
    <row r="62" spans="2:9" ht="12.75" customHeight="1">
      <c r="B62" s="132" t="s">
        <v>117</v>
      </c>
      <c r="C62" s="132"/>
      <c r="D62" s="132"/>
      <c r="E62" s="132"/>
      <c r="F62" s="132"/>
      <c r="G62" s="132"/>
      <c r="H62" s="48" t="s">
        <v>118</v>
      </c>
      <c r="I62" s="72"/>
    </row>
    <row r="63" spans="2:9" ht="12.75" customHeight="1">
      <c r="B63" s="132" t="s">
        <v>119</v>
      </c>
      <c r="C63" s="132"/>
      <c r="D63" s="132"/>
      <c r="E63" s="132"/>
      <c r="F63" s="132"/>
      <c r="G63" s="132"/>
      <c r="H63" s="48" t="s">
        <v>120</v>
      </c>
      <c r="I63" s="72">
        <f>1644691.035</f>
        <v>1644691.035</v>
      </c>
    </row>
    <row r="64" spans="2:9" ht="12.75" customHeight="1">
      <c r="B64" s="132" t="s">
        <v>87</v>
      </c>
      <c r="C64" s="132"/>
      <c r="D64" s="132"/>
      <c r="E64" s="132"/>
      <c r="F64" s="132"/>
      <c r="G64" s="132"/>
      <c r="H64" s="48" t="s">
        <v>121</v>
      </c>
      <c r="I64" s="72">
        <f>29429334.44</f>
        <v>29429334.44</v>
      </c>
    </row>
    <row r="65" spans="2:9" ht="25.5" customHeight="1">
      <c r="B65" s="136" t="s">
        <v>122</v>
      </c>
      <c r="C65" s="136"/>
      <c r="D65" s="136"/>
      <c r="E65" s="136"/>
      <c r="F65" s="136"/>
      <c r="G65" s="136"/>
      <c r="H65" s="46" t="s">
        <v>69</v>
      </c>
      <c r="I65" s="47">
        <f>I53-I59+1</f>
        <v>-1491486.303000003</v>
      </c>
    </row>
    <row r="66" spans="2:9" ht="12.75" customHeight="1">
      <c r="B66" s="140" t="s">
        <v>152</v>
      </c>
      <c r="C66" s="140"/>
      <c r="D66" s="140"/>
      <c r="E66" s="140"/>
      <c r="F66" s="140"/>
      <c r="G66" s="140"/>
      <c r="H66" s="49"/>
      <c r="I66" s="47">
        <f>-31433.251</f>
        <v>-31433.251</v>
      </c>
    </row>
    <row r="67" spans="2:9" ht="25.5" customHeight="1">
      <c r="B67" s="136" t="s">
        <v>123</v>
      </c>
      <c r="C67" s="136"/>
      <c r="D67" s="136"/>
      <c r="E67" s="136"/>
      <c r="F67" s="136"/>
      <c r="G67" s="136"/>
      <c r="H67" s="49"/>
      <c r="I67" s="54">
        <f>I31+I51+I65+I66</f>
        <v>-620699.1310000027</v>
      </c>
    </row>
    <row r="68" spans="2:9" ht="24.75" customHeight="1">
      <c r="B68" s="136" t="s">
        <v>124</v>
      </c>
      <c r="C68" s="136"/>
      <c r="D68" s="136"/>
      <c r="E68" s="136"/>
      <c r="F68" s="136"/>
      <c r="G68" s="136"/>
      <c r="H68" s="49"/>
      <c r="I68" s="62">
        <v>1050814</v>
      </c>
    </row>
    <row r="69" spans="2:12" ht="25.5" customHeight="1">
      <c r="B69" s="136" t="s">
        <v>125</v>
      </c>
      <c r="C69" s="136"/>
      <c r="D69" s="136"/>
      <c r="E69" s="136"/>
      <c r="F69" s="136"/>
      <c r="G69" s="136"/>
      <c r="H69" s="49"/>
      <c r="I69" s="62">
        <f>I68+I67</f>
        <v>430114.86899999727</v>
      </c>
      <c r="L69" s="51"/>
    </row>
    <row r="70" spans="2:10" ht="12.75" customHeight="1">
      <c r="B70" s="39" t="s">
        <v>57</v>
      </c>
      <c r="I70" s="50"/>
      <c r="J70" s="51"/>
    </row>
    <row r="71" spans="3:9" ht="12.75" customHeight="1">
      <c r="C71" s="137" t="s">
        <v>58</v>
      </c>
      <c r="D71" s="137"/>
      <c r="E71" s="138" t="s">
        <v>59</v>
      </c>
      <c r="F71" s="138"/>
      <c r="G71" s="138"/>
      <c r="H71" s="138"/>
      <c r="I71" s="59"/>
    </row>
    <row r="72" spans="4:9" ht="12.75" customHeight="1">
      <c r="D72" s="39" t="s">
        <v>61</v>
      </c>
      <c r="I72" s="58" t="s">
        <v>62</v>
      </c>
    </row>
    <row r="73" spans="3:9" ht="12.75" customHeight="1">
      <c r="C73" s="139" t="s">
        <v>63</v>
      </c>
      <c r="D73" s="139"/>
      <c r="E73" s="138" t="s">
        <v>149</v>
      </c>
      <c r="F73" s="138"/>
      <c r="G73" s="138"/>
      <c r="H73" s="138"/>
      <c r="I73" s="57" t="s">
        <v>60</v>
      </c>
    </row>
    <row r="74" spans="4:9" ht="12.75" customHeight="1">
      <c r="D74" s="39" t="s">
        <v>61</v>
      </c>
      <c r="I74" s="58" t="s">
        <v>62</v>
      </c>
    </row>
    <row r="75" ht="12.75">
      <c r="C75" s="40" t="s">
        <v>64</v>
      </c>
    </row>
    <row r="77" ht="12">
      <c r="I77" s="51"/>
    </row>
    <row r="78" ht="12">
      <c r="I78" s="51"/>
    </row>
  </sheetData>
  <sheetProtection/>
  <mergeCells count="74">
    <mergeCell ref="C73:D73"/>
    <mergeCell ref="E73:H73"/>
    <mergeCell ref="B65:G65"/>
    <mergeCell ref="B66:G66"/>
    <mergeCell ref="B67:G67"/>
    <mergeCell ref="B68:G68"/>
    <mergeCell ref="B69:G69"/>
    <mergeCell ref="C71:D71"/>
    <mergeCell ref="E71:H71"/>
    <mergeCell ref="B59:G5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I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29:G29"/>
    <mergeCell ref="B30:G30"/>
    <mergeCell ref="B31:G31"/>
    <mergeCell ref="B32:I32"/>
    <mergeCell ref="B33:G33"/>
    <mergeCell ref="B34:G34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3:G14"/>
    <mergeCell ref="H13:H14"/>
    <mergeCell ref="I13:I14"/>
    <mergeCell ref="B15:I15"/>
    <mergeCell ref="B16:G16"/>
    <mergeCell ref="B9:F9"/>
    <mergeCell ref="G9:I9"/>
    <mergeCell ref="B10:F10"/>
    <mergeCell ref="G10:I10"/>
    <mergeCell ref="B11:F11"/>
    <mergeCell ref="G11:K11"/>
    <mergeCell ref="D4:I4"/>
    <mergeCell ref="D5:I5"/>
    <mergeCell ref="D6:I6"/>
    <mergeCell ref="D7:I7"/>
    <mergeCell ref="B8:F8"/>
    <mergeCell ref="G8:I8"/>
  </mergeCells>
  <printOptions/>
  <pageMargins left="0.7874015748031497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71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1.28515625" style="2" customWidth="1"/>
    <col min="7" max="7" width="10.57421875" style="2" customWidth="1"/>
    <col min="8" max="8" width="12.710937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50" t="s">
        <v>151</v>
      </c>
      <c r="E4" s="150"/>
      <c r="F4" s="150"/>
      <c r="G4" s="5"/>
      <c r="H4" s="5"/>
      <c r="I4" s="5"/>
    </row>
    <row r="5" spans="4:7" ht="12.75">
      <c r="D5" s="79" t="s">
        <v>177</v>
      </c>
      <c r="E5" s="151">
        <v>41547</v>
      </c>
      <c r="F5" s="152"/>
      <c r="G5" s="152"/>
    </row>
    <row r="6" spans="5:7" ht="12.75">
      <c r="E6" s="153"/>
      <c r="F6" s="153"/>
      <c r="G6" s="153"/>
    </row>
    <row r="7" spans="1:9" ht="12.75">
      <c r="A7" s="154" t="s">
        <v>0</v>
      </c>
      <c r="B7" s="154"/>
      <c r="C7" s="154"/>
      <c r="D7" s="154"/>
      <c r="E7" s="155" t="s">
        <v>1</v>
      </c>
      <c r="F7" s="155"/>
      <c r="G7" s="155"/>
      <c r="H7" s="155"/>
      <c r="I7" s="155"/>
    </row>
    <row r="8" spans="1:9" ht="12.75" customHeight="1">
      <c r="A8" s="154" t="s">
        <v>2</v>
      </c>
      <c r="B8" s="154"/>
      <c r="C8" s="154"/>
      <c r="D8" s="154"/>
      <c r="E8" s="156" t="s">
        <v>3</v>
      </c>
      <c r="F8" s="156"/>
      <c r="G8" s="156"/>
      <c r="H8" s="156"/>
      <c r="I8" s="156"/>
    </row>
    <row r="9" spans="1:9" ht="12.75" customHeight="1">
      <c r="A9" s="154" t="s">
        <v>4</v>
      </c>
      <c r="B9" s="154"/>
      <c r="C9" s="154"/>
      <c r="D9" s="154"/>
      <c r="E9" s="159" t="s">
        <v>5</v>
      </c>
      <c r="F9" s="159"/>
      <c r="G9" s="159"/>
      <c r="H9" s="159"/>
      <c r="I9" s="159"/>
    </row>
    <row r="10" spans="1:9" ht="12.75" customHeight="1">
      <c r="A10" s="154" t="s">
        <v>6</v>
      </c>
      <c r="B10" s="154"/>
      <c r="C10" s="154"/>
      <c r="D10" s="154"/>
      <c r="E10" s="159" t="s">
        <v>133</v>
      </c>
      <c r="F10" s="159"/>
      <c r="G10" s="159"/>
      <c r="H10" s="159"/>
      <c r="I10" s="159"/>
    </row>
    <row r="11" ht="12.75" customHeight="1"/>
    <row r="12" ht="12.75" customHeight="1">
      <c r="I12" s="8" t="s">
        <v>73</v>
      </c>
    </row>
    <row r="13" spans="1:9" ht="12.75" customHeight="1">
      <c r="A13" s="157" t="s">
        <v>7</v>
      </c>
      <c r="B13" s="157"/>
      <c r="C13" s="157"/>
      <c r="D13" s="157"/>
      <c r="E13" s="157"/>
      <c r="F13" s="157"/>
      <c r="G13" s="141" t="s">
        <v>8</v>
      </c>
      <c r="H13" s="143" t="s">
        <v>200</v>
      </c>
      <c r="I13" s="143" t="s">
        <v>178</v>
      </c>
    </row>
    <row r="14" spans="1:9" ht="38.25" customHeight="1">
      <c r="A14" s="157"/>
      <c r="B14" s="157"/>
      <c r="C14" s="157"/>
      <c r="D14" s="157"/>
      <c r="E14" s="157"/>
      <c r="F14" s="157"/>
      <c r="G14" s="142"/>
      <c r="H14" s="144"/>
      <c r="I14" s="144"/>
    </row>
    <row r="15" spans="1:9" s="9" customFormat="1" ht="12.75" customHeight="1">
      <c r="A15" s="158" t="s">
        <v>143</v>
      </c>
      <c r="B15" s="158"/>
      <c r="C15" s="158"/>
      <c r="D15" s="158"/>
      <c r="E15" s="158"/>
      <c r="F15" s="158"/>
      <c r="G15" s="10"/>
      <c r="H15" s="10"/>
      <c r="I15" s="10"/>
    </row>
    <row r="16" spans="1:11" s="9" customFormat="1" ht="12.75" customHeight="1">
      <c r="A16" s="145" t="s">
        <v>23</v>
      </c>
      <c r="B16" s="145"/>
      <c r="C16" s="145"/>
      <c r="D16" s="145"/>
      <c r="E16" s="145"/>
      <c r="F16" s="145"/>
      <c r="G16" s="66" t="s">
        <v>24</v>
      </c>
      <c r="H16" s="70">
        <f>94264538.959</f>
        <v>94264538.959</v>
      </c>
      <c r="I16" s="56">
        <v>94005283</v>
      </c>
      <c r="K16" s="29"/>
    </row>
    <row r="17" spans="1:11" ht="12.75" customHeight="1">
      <c r="A17" s="161" t="s">
        <v>29</v>
      </c>
      <c r="B17" s="161"/>
      <c r="C17" s="161"/>
      <c r="D17" s="161"/>
      <c r="E17" s="161"/>
      <c r="F17" s="161"/>
      <c r="G17" s="66" t="s">
        <v>30</v>
      </c>
      <c r="H17" s="70">
        <f>49093.579</f>
        <v>49093.579</v>
      </c>
      <c r="I17" s="56">
        <v>51527</v>
      </c>
      <c r="K17" s="29"/>
    </row>
    <row r="18" spans="1:11" s="9" customFormat="1" ht="12.75" customHeight="1">
      <c r="A18" s="161" t="s">
        <v>179</v>
      </c>
      <c r="B18" s="161"/>
      <c r="C18" s="161"/>
      <c r="D18" s="161"/>
      <c r="E18" s="161"/>
      <c r="F18" s="161"/>
      <c r="G18" s="67" t="s">
        <v>17</v>
      </c>
      <c r="H18" s="76">
        <f>12506.429</f>
        <v>12506.429</v>
      </c>
      <c r="I18" s="56">
        <v>21087</v>
      </c>
      <c r="K18" s="29"/>
    </row>
    <row r="19" spans="1:11" s="9" customFormat="1" ht="12.75" customHeight="1">
      <c r="A19" s="161" t="s">
        <v>140</v>
      </c>
      <c r="B19" s="161"/>
      <c r="C19" s="161"/>
      <c r="D19" s="161"/>
      <c r="E19" s="161"/>
      <c r="F19" s="161"/>
      <c r="G19" s="67" t="s">
        <v>199</v>
      </c>
      <c r="H19" s="76">
        <f>3407061.4</f>
        <v>3407061.4</v>
      </c>
      <c r="I19" s="56"/>
      <c r="K19" s="29"/>
    </row>
    <row r="20" spans="1:11" ht="12.75" customHeight="1">
      <c r="A20" s="161" t="s">
        <v>180</v>
      </c>
      <c r="B20" s="161"/>
      <c r="C20" s="161"/>
      <c r="D20" s="161"/>
      <c r="E20" s="161"/>
      <c r="F20" s="161"/>
      <c r="G20" s="69" t="s">
        <v>31</v>
      </c>
      <c r="H20" s="70">
        <f>148483.321</f>
        <v>148483.321</v>
      </c>
      <c r="I20" s="56">
        <v>293022</v>
      </c>
      <c r="J20" s="27"/>
      <c r="K20" s="29"/>
    </row>
    <row r="21" spans="1:11" s="9" customFormat="1" ht="12.75" customHeight="1">
      <c r="A21" s="160" t="s">
        <v>32</v>
      </c>
      <c r="B21" s="160"/>
      <c r="C21" s="160"/>
      <c r="D21" s="160"/>
      <c r="E21" s="160"/>
      <c r="F21" s="160"/>
      <c r="G21" s="13">
        <v>200</v>
      </c>
      <c r="H21" s="71">
        <f>SUM(H16:H20)-1</f>
        <v>97881682.68800001</v>
      </c>
      <c r="I21" s="25">
        <f>SUM(I16:I20)</f>
        <v>94370919</v>
      </c>
      <c r="J21" s="29"/>
      <c r="K21" s="29"/>
    </row>
    <row r="22" spans="1:11" s="9" customFormat="1" ht="12.75" customHeight="1">
      <c r="A22" s="158" t="s">
        <v>163</v>
      </c>
      <c r="B22" s="158"/>
      <c r="C22" s="158"/>
      <c r="D22" s="158"/>
      <c r="E22" s="158"/>
      <c r="F22" s="158"/>
      <c r="G22" s="10"/>
      <c r="H22" s="77"/>
      <c r="I22" s="26"/>
      <c r="K22" s="29"/>
    </row>
    <row r="23" spans="1:11" s="9" customFormat="1" ht="12.75" customHeight="1">
      <c r="A23" s="145" t="s">
        <v>144</v>
      </c>
      <c r="B23" s="145"/>
      <c r="C23" s="145"/>
      <c r="D23" s="145"/>
      <c r="E23" s="145"/>
      <c r="F23" s="145"/>
      <c r="G23" s="66" t="s">
        <v>12</v>
      </c>
      <c r="H23" s="70">
        <f>97007.512</f>
        <v>97007.512</v>
      </c>
      <c r="I23" s="56">
        <v>68478</v>
      </c>
      <c r="K23" s="31"/>
    </row>
    <row r="24" spans="1:11" s="9" customFormat="1" ht="12.75" customHeight="1" hidden="1">
      <c r="A24" s="145" t="s">
        <v>25</v>
      </c>
      <c r="B24" s="145"/>
      <c r="C24" s="145"/>
      <c r="D24" s="145"/>
      <c r="E24" s="145"/>
      <c r="F24" s="145"/>
      <c r="G24" s="66" t="s">
        <v>26</v>
      </c>
      <c r="H24" s="70"/>
      <c r="I24" s="56"/>
      <c r="K24" s="29"/>
    </row>
    <row r="25" spans="1:11" s="9" customFormat="1" ht="12.75" customHeight="1" hidden="1">
      <c r="A25" s="145" t="s">
        <v>27</v>
      </c>
      <c r="B25" s="145"/>
      <c r="C25" s="145"/>
      <c r="D25" s="145"/>
      <c r="E25" s="145"/>
      <c r="F25" s="145"/>
      <c r="G25" s="66" t="s">
        <v>28</v>
      </c>
      <c r="H25" s="70"/>
      <c r="I25" s="56"/>
      <c r="K25" s="29"/>
    </row>
    <row r="26" spans="1:11" s="2" customFormat="1" ht="12.75" customHeight="1">
      <c r="A26" s="145" t="s">
        <v>161</v>
      </c>
      <c r="B26" s="145"/>
      <c r="C26" s="145"/>
      <c r="D26" s="145"/>
      <c r="E26" s="145"/>
      <c r="F26" s="145"/>
      <c r="G26" s="66" t="s">
        <v>11</v>
      </c>
      <c r="H26" s="70">
        <f>5301838.598</f>
        <v>5301838.598</v>
      </c>
      <c r="I26" s="56">
        <v>3488662</v>
      </c>
      <c r="K26" s="29"/>
    </row>
    <row r="27" spans="1:11" s="2" customFormat="1" ht="12.75" customHeight="1">
      <c r="A27" s="145" t="s">
        <v>162</v>
      </c>
      <c r="B27" s="145"/>
      <c r="C27" s="145"/>
      <c r="D27" s="145"/>
      <c r="E27" s="145"/>
      <c r="F27" s="145"/>
      <c r="G27" s="66" t="s">
        <v>15</v>
      </c>
      <c r="H27" s="70">
        <f>602414.018</f>
        <v>602414.018</v>
      </c>
      <c r="I27" s="56">
        <v>665342</v>
      </c>
      <c r="K27" s="29"/>
    </row>
    <row r="28" spans="1:11" ht="12.75">
      <c r="A28" s="145" t="s">
        <v>181</v>
      </c>
      <c r="B28" s="145"/>
      <c r="C28" s="145"/>
      <c r="D28" s="145"/>
      <c r="E28" s="145"/>
      <c r="F28" s="145"/>
      <c r="G28" s="66" t="s">
        <v>11</v>
      </c>
      <c r="H28" s="70">
        <f>227147.225</f>
        <v>227147.225</v>
      </c>
      <c r="I28" s="56">
        <v>233369</v>
      </c>
      <c r="K28" s="29"/>
    </row>
    <row r="29" spans="1:11" ht="12.75">
      <c r="A29" s="145" t="s">
        <v>182</v>
      </c>
      <c r="B29" s="145"/>
      <c r="C29" s="145"/>
      <c r="D29" s="145"/>
      <c r="E29" s="145"/>
      <c r="F29" s="145"/>
      <c r="G29" s="66" t="s">
        <v>13</v>
      </c>
      <c r="H29" s="70">
        <f>6386.205</f>
        <v>6386.205</v>
      </c>
      <c r="I29" s="56">
        <v>15279</v>
      </c>
      <c r="K29" s="29"/>
    </row>
    <row r="30" spans="1:11" s="9" customFormat="1" ht="12.75" customHeight="1">
      <c r="A30" s="145" t="s">
        <v>179</v>
      </c>
      <c r="B30" s="145"/>
      <c r="C30" s="145"/>
      <c r="D30" s="145"/>
      <c r="E30" s="145"/>
      <c r="F30" s="145"/>
      <c r="G30" s="66" t="s">
        <v>10</v>
      </c>
      <c r="H30" s="70">
        <f>15141.006</f>
        <v>15141.006</v>
      </c>
      <c r="I30" s="56">
        <v>18422</v>
      </c>
      <c r="K30" s="29"/>
    </row>
    <row r="31" spans="1:11" s="9" customFormat="1" ht="12.75" customHeight="1" hidden="1">
      <c r="A31" s="145" t="s">
        <v>140</v>
      </c>
      <c r="B31" s="145"/>
      <c r="C31" s="145"/>
      <c r="D31" s="145"/>
      <c r="E31" s="145"/>
      <c r="F31" s="145"/>
      <c r="G31" s="66" t="s">
        <v>15</v>
      </c>
      <c r="H31" s="70"/>
      <c r="I31" s="56" t="e">
        <f>#REF!</f>
        <v>#REF!</v>
      </c>
      <c r="K31" s="29"/>
    </row>
    <row r="32" spans="1:11" s="9" customFormat="1" ht="12.75" customHeight="1" hidden="1">
      <c r="A32" s="145" t="s">
        <v>19</v>
      </c>
      <c r="B32" s="145"/>
      <c r="C32" s="145"/>
      <c r="D32" s="145"/>
      <c r="E32" s="145"/>
      <c r="F32" s="145"/>
      <c r="G32" s="66" t="s">
        <v>20</v>
      </c>
      <c r="H32" s="70"/>
      <c r="I32" s="56"/>
      <c r="K32" s="29"/>
    </row>
    <row r="33" spans="1:11" s="9" customFormat="1" ht="12.75" customHeight="1" hidden="1">
      <c r="A33" s="145" t="s">
        <v>21</v>
      </c>
      <c r="B33" s="145"/>
      <c r="C33" s="145"/>
      <c r="D33" s="145"/>
      <c r="E33" s="145"/>
      <c r="F33" s="145"/>
      <c r="G33" s="66" t="s">
        <v>22</v>
      </c>
      <c r="H33" s="70"/>
      <c r="I33" s="56"/>
      <c r="K33" s="29"/>
    </row>
    <row r="34" spans="1:11" s="2" customFormat="1" ht="12.75" customHeight="1">
      <c r="A34" s="145" t="s">
        <v>142</v>
      </c>
      <c r="B34" s="145"/>
      <c r="C34" s="145"/>
      <c r="D34" s="145"/>
      <c r="E34" s="145"/>
      <c r="F34" s="145"/>
      <c r="G34" s="66" t="s">
        <v>9</v>
      </c>
      <c r="H34" s="70">
        <f>6463282</f>
        <v>6463282</v>
      </c>
      <c r="I34" s="56"/>
      <c r="K34" s="29"/>
    </row>
    <row r="35" spans="1:11" s="2" customFormat="1" ht="12.75" customHeight="1">
      <c r="A35" s="145" t="s">
        <v>139</v>
      </c>
      <c r="B35" s="145"/>
      <c r="C35" s="145"/>
      <c r="D35" s="145"/>
      <c r="E35" s="145"/>
      <c r="F35" s="145"/>
      <c r="G35" s="67" t="s">
        <v>9</v>
      </c>
      <c r="H35" s="70">
        <f>430114.57</f>
        <v>430114.57</v>
      </c>
      <c r="I35" s="56">
        <v>1050814</v>
      </c>
      <c r="K35" s="29"/>
    </row>
    <row r="36" spans="1:11" s="2" customFormat="1" ht="12.75" customHeight="1">
      <c r="A36" s="148" t="s">
        <v>164</v>
      </c>
      <c r="B36" s="148"/>
      <c r="C36" s="148"/>
      <c r="D36" s="148"/>
      <c r="E36" s="148"/>
      <c r="F36" s="148"/>
      <c r="G36" s="68" t="s">
        <v>16</v>
      </c>
      <c r="H36" s="71">
        <f>SUM(H23:H35)+1</f>
        <v>13143332.134</v>
      </c>
      <c r="I36" s="71">
        <f>I23+I26+I27+I28+I29+I30+I34+I35</f>
        <v>5540366</v>
      </c>
      <c r="K36" s="29"/>
    </row>
    <row r="37" spans="1:11" s="2" customFormat="1" ht="12.75" customHeight="1">
      <c r="A37" s="147" t="s">
        <v>33</v>
      </c>
      <c r="B37" s="147"/>
      <c r="C37" s="147"/>
      <c r="D37" s="147"/>
      <c r="E37" s="147"/>
      <c r="F37" s="147"/>
      <c r="G37" s="13"/>
      <c r="H37" s="71">
        <f>H21+H36</f>
        <v>111025014.82200001</v>
      </c>
      <c r="I37" s="25">
        <f>I21+I36</f>
        <v>99911285</v>
      </c>
      <c r="K37" s="29"/>
    </row>
    <row r="38" spans="1:9" ht="12.75" customHeight="1">
      <c r="A38" s="157" t="s">
        <v>145</v>
      </c>
      <c r="B38" s="157"/>
      <c r="C38" s="157"/>
      <c r="D38" s="157"/>
      <c r="E38" s="157"/>
      <c r="F38" s="157"/>
      <c r="G38" s="141"/>
      <c r="H38" s="143"/>
      <c r="I38" s="143"/>
    </row>
    <row r="39" spans="1:9" ht="10.5" customHeight="1">
      <c r="A39" s="157"/>
      <c r="B39" s="157"/>
      <c r="C39" s="157"/>
      <c r="D39" s="157"/>
      <c r="E39" s="157"/>
      <c r="F39" s="157"/>
      <c r="G39" s="142"/>
      <c r="H39" s="144"/>
      <c r="I39" s="144"/>
    </row>
    <row r="40" spans="1:11" s="9" customFormat="1" ht="12.75" customHeight="1">
      <c r="A40" s="149" t="s">
        <v>148</v>
      </c>
      <c r="B40" s="149"/>
      <c r="C40" s="149"/>
      <c r="D40" s="149"/>
      <c r="E40" s="149"/>
      <c r="F40" s="149"/>
      <c r="G40" s="94"/>
      <c r="H40" s="76"/>
      <c r="I40" s="95"/>
      <c r="K40" s="29"/>
    </row>
    <row r="41" spans="1:12" ht="12.75">
      <c r="A41" s="146" t="s">
        <v>146</v>
      </c>
      <c r="B41" s="146"/>
      <c r="C41" s="146"/>
      <c r="D41" s="146"/>
      <c r="E41" s="146"/>
      <c r="F41" s="146"/>
      <c r="G41" s="11" t="s">
        <v>46</v>
      </c>
      <c r="H41" s="70">
        <f>3845400</f>
        <v>3845400</v>
      </c>
      <c r="I41" s="56">
        <v>840000</v>
      </c>
      <c r="J41" s="27"/>
      <c r="K41" s="29"/>
      <c r="L41" s="37"/>
    </row>
    <row r="42" spans="1:12" ht="12.75" hidden="1">
      <c r="A42" s="146" t="s">
        <v>47</v>
      </c>
      <c r="B42" s="146"/>
      <c r="C42" s="146"/>
      <c r="D42" s="146"/>
      <c r="E42" s="146"/>
      <c r="F42" s="146"/>
      <c r="G42" s="11" t="s">
        <v>48</v>
      </c>
      <c r="H42" s="70"/>
      <c r="I42" s="56"/>
      <c r="K42" s="29"/>
      <c r="L42" s="37"/>
    </row>
    <row r="43" spans="1:11" ht="12.75" hidden="1">
      <c r="A43" s="146" t="s">
        <v>49</v>
      </c>
      <c r="B43" s="146"/>
      <c r="C43" s="146"/>
      <c r="D43" s="146"/>
      <c r="E43" s="146"/>
      <c r="F43" s="146"/>
      <c r="G43" s="11" t="s">
        <v>50</v>
      </c>
      <c r="H43" s="70"/>
      <c r="I43" s="56"/>
      <c r="K43" s="29"/>
    </row>
    <row r="44" spans="1:11" ht="12.75">
      <c r="A44" s="146" t="s">
        <v>147</v>
      </c>
      <c r="B44" s="146"/>
      <c r="C44" s="146"/>
      <c r="D44" s="146"/>
      <c r="E44" s="146"/>
      <c r="F44" s="146"/>
      <c r="G44" s="11" t="s">
        <v>51</v>
      </c>
      <c r="H44" s="70">
        <f>13655759.226</f>
        <v>13655759.226</v>
      </c>
      <c r="I44" s="56">
        <v>14166827</v>
      </c>
      <c r="J44" s="27"/>
      <c r="K44" s="29"/>
    </row>
    <row r="45" spans="1:11" ht="12.75">
      <c r="A45" s="146" t="s">
        <v>129</v>
      </c>
      <c r="B45" s="146"/>
      <c r="C45" s="146"/>
      <c r="D45" s="146"/>
      <c r="E45" s="146"/>
      <c r="F45" s="146"/>
      <c r="G45" s="11" t="s">
        <v>52</v>
      </c>
      <c r="H45" s="70">
        <f>24971655.18</f>
        <v>24971655.18</v>
      </c>
      <c r="I45" s="56">
        <v>19451800</v>
      </c>
      <c r="J45" s="27"/>
      <c r="K45" s="29"/>
    </row>
    <row r="46" spans="1:11" s="9" customFormat="1" ht="12.75" customHeight="1">
      <c r="A46" s="162" t="s">
        <v>55</v>
      </c>
      <c r="B46" s="162"/>
      <c r="C46" s="162"/>
      <c r="D46" s="162"/>
      <c r="E46" s="162"/>
      <c r="F46" s="162"/>
      <c r="G46" s="13">
        <v>500</v>
      </c>
      <c r="H46" s="71">
        <f>SUM(H41:H45)</f>
        <v>42472814.406</v>
      </c>
      <c r="I46" s="25">
        <f>SUM(I41:I45)</f>
        <v>34458627</v>
      </c>
      <c r="K46" s="29"/>
    </row>
    <row r="47" spans="1:11" s="9" customFormat="1" ht="12.75" customHeight="1">
      <c r="A47" s="158" t="s">
        <v>38</v>
      </c>
      <c r="B47" s="158"/>
      <c r="C47" s="158"/>
      <c r="D47" s="158"/>
      <c r="E47" s="158"/>
      <c r="F47" s="158"/>
      <c r="G47" s="12"/>
      <c r="H47" s="70"/>
      <c r="I47" s="24"/>
      <c r="K47" s="29"/>
    </row>
    <row r="48" spans="1:12" s="9" customFormat="1" ht="12.75" customHeight="1">
      <c r="A48" s="146" t="s">
        <v>183</v>
      </c>
      <c r="B48" s="146"/>
      <c r="C48" s="146"/>
      <c r="D48" s="146"/>
      <c r="E48" s="146"/>
      <c r="F48" s="146"/>
      <c r="G48" s="11" t="s">
        <v>39</v>
      </c>
      <c r="H48" s="70">
        <f>30122367.808</f>
        <v>30122367.808</v>
      </c>
      <c r="I48" s="56">
        <v>37968151</v>
      </c>
      <c r="K48" s="29"/>
      <c r="L48" s="2"/>
    </row>
    <row r="49" spans="1:11" ht="12.75" customHeight="1">
      <c r="A49" s="146" t="s">
        <v>184</v>
      </c>
      <c r="B49" s="146"/>
      <c r="C49" s="146"/>
      <c r="D49" s="146"/>
      <c r="E49" s="146"/>
      <c r="F49" s="146"/>
      <c r="G49" s="11" t="s">
        <v>40</v>
      </c>
      <c r="H49" s="70">
        <f>3894745.68</f>
        <v>3894745.68</v>
      </c>
      <c r="I49" s="56">
        <v>5240289</v>
      </c>
      <c r="K49" s="29"/>
    </row>
    <row r="50" spans="1:11" ht="12.75" customHeight="1">
      <c r="A50" s="146" t="s">
        <v>198</v>
      </c>
      <c r="B50" s="146"/>
      <c r="C50" s="146"/>
      <c r="D50" s="146"/>
      <c r="E50" s="146"/>
      <c r="F50" s="146"/>
      <c r="G50" s="11" t="s">
        <v>41</v>
      </c>
      <c r="H50" s="70">
        <f>14926330.477</f>
        <v>14926330.477</v>
      </c>
      <c r="I50" s="56"/>
      <c r="K50" s="29"/>
    </row>
    <row r="51" spans="1:11" s="9" customFormat="1" ht="12.75" customHeight="1">
      <c r="A51" s="146" t="s">
        <v>185</v>
      </c>
      <c r="B51" s="146"/>
      <c r="C51" s="146"/>
      <c r="D51" s="146"/>
      <c r="E51" s="146"/>
      <c r="F51" s="146"/>
      <c r="G51" s="11" t="s">
        <v>42</v>
      </c>
      <c r="H51" s="70">
        <v>7830050.685</v>
      </c>
      <c r="I51" s="56">
        <v>7830051</v>
      </c>
      <c r="K51" s="29"/>
    </row>
    <row r="52" spans="1:11" s="9" customFormat="1" ht="12.75" customHeight="1">
      <c r="A52" s="162" t="s">
        <v>44</v>
      </c>
      <c r="B52" s="162"/>
      <c r="C52" s="162"/>
      <c r="D52" s="162"/>
      <c r="E52" s="162"/>
      <c r="F52" s="162"/>
      <c r="G52" s="13" t="s">
        <v>45</v>
      </c>
      <c r="H52" s="71">
        <f>SUM(H48:H51)</f>
        <v>56773494.65</v>
      </c>
      <c r="I52" s="25">
        <f>SUM(I48:I51)</f>
        <v>51038491</v>
      </c>
      <c r="K52" s="29"/>
    </row>
    <row r="53" spans="1:11" s="9" customFormat="1" ht="12.75" customHeight="1">
      <c r="A53" s="158" t="s">
        <v>165</v>
      </c>
      <c r="B53" s="158"/>
      <c r="C53" s="158"/>
      <c r="D53" s="158"/>
      <c r="E53" s="158"/>
      <c r="F53" s="158"/>
      <c r="G53" s="11"/>
      <c r="H53" s="70"/>
      <c r="I53" s="24"/>
      <c r="K53" s="29"/>
    </row>
    <row r="54" spans="1:11" s="2" customFormat="1" ht="12.75" customHeight="1">
      <c r="A54" s="146" t="s">
        <v>183</v>
      </c>
      <c r="B54" s="146"/>
      <c r="C54" s="146"/>
      <c r="D54" s="146"/>
      <c r="E54" s="146"/>
      <c r="F54" s="146"/>
      <c r="G54" s="11" t="s">
        <v>34</v>
      </c>
      <c r="H54" s="70">
        <f>7824024.654</f>
        <v>7824024.654</v>
      </c>
      <c r="I54" s="56">
        <v>10562554</v>
      </c>
      <c r="K54" s="29"/>
    </row>
    <row r="55" spans="1:11" s="2" customFormat="1" ht="12.75" customHeight="1">
      <c r="A55" s="146" t="s">
        <v>186</v>
      </c>
      <c r="B55" s="146"/>
      <c r="C55" s="146"/>
      <c r="D55" s="146"/>
      <c r="E55" s="146"/>
      <c r="F55" s="146"/>
      <c r="G55" s="11" t="s">
        <v>34</v>
      </c>
      <c r="H55" s="70">
        <f>1191066.718</f>
        <v>1191066.718</v>
      </c>
      <c r="I55" s="56">
        <v>1688400</v>
      </c>
      <c r="K55" s="29"/>
    </row>
    <row r="56" spans="1:11" s="2" customFormat="1" ht="12.75" customHeight="1">
      <c r="A56" s="146" t="s">
        <v>197</v>
      </c>
      <c r="B56" s="146"/>
      <c r="C56" s="146"/>
      <c r="D56" s="146"/>
      <c r="E56" s="146"/>
      <c r="F56" s="146"/>
      <c r="G56" s="11" t="s">
        <v>35</v>
      </c>
      <c r="H56" s="70">
        <f>522521.358</f>
        <v>522521.358</v>
      </c>
      <c r="I56" s="56"/>
      <c r="K56" s="29"/>
    </row>
    <row r="57" spans="1:12" s="9" customFormat="1" ht="12.75" customHeight="1">
      <c r="A57" s="146" t="s">
        <v>166</v>
      </c>
      <c r="B57" s="146"/>
      <c r="C57" s="146"/>
      <c r="D57" s="146"/>
      <c r="E57" s="146"/>
      <c r="F57" s="146"/>
      <c r="G57" s="64" t="s">
        <v>36</v>
      </c>
      <c r="H57" s="70">
        <f>1558671.202</f>
        <v>1558671.202</v>
      </c>
      <c r="I57" s="56">
        <v>962012</v>
      </c>
      <c r="K57" s="29"/>
      <c r="L57" s="2"/>
    </row>
    <row r="58" spans="1:12" s="9" customFormat="1" ht="12.75" customHeight="1">
      <c r="A58" s="146" t="s">
        <v>167</v>
      </c>
      <c r="B58" s="146"/>
      <c r="C58" s="146"/>
      <c r="D58" s="146"/>
      <c r="E58" s="146"/>
      <c r="F58" s="146"/>
      <c r="G58" s="69" t="s">
        <v>176</v>
      </c>
      <c r="H58" s="70">
        <f>125475.175</f>
        <v>125475.175</v>
      </c>
      <c r="I58" s="56">
        <v>358284</v>
      </c>
      <c r="K58" s="29"/>
      <c r="L58" s="2"/>
    </row>
    <row r="59" spans="1:11" s="9" customFormat="1" ht="12.75" customHeight="1">
      <c r="A59" s="146" t="s">
        <v>187</v>
      </c>
      <c r="B59" s="146"/>
      <c r="C59" s="146"/>
      <c r="D59" s="146"/>
      <c r="E59" s="146"/>
      <c r="F59" s="146"/>
      <c r="G59" s="69" t="s">
        <v>35</v>
      </c>
      <c r="H59" s="70"/>
      <c r="I59" s="56"/>
      <c r="K59" s="29"/>
    </row>
    <row r="60" spans="1:11" s="9" customFormat="1" ht="12.75" customHeight="1">
      <c r="A60" s="146" t="s">
        <v>37</v>
      </c>
      <c r="B60" s="146"/>
      <c r="C60" s="146"/>
      <c r="D60" s="146"/>
      <c r="E60" s="146"/>
      <c r="F60" s="146"/>
      <c r="G60" s="66" t="s">
        <v>175</v>
      </c>
      <c r="H60" s="70">
        <f>556946.66</f>
        <v>556946.66</v>
      </c>
      <c r="I60" s="56">
        <v>842917</v>
      </c>
      <c r="K60" s="29"/>
    </row>
    <row r="61" spans="1:11" ht="12.75" hidden="1">
      <c r="A61" s="146" t="s">
        <v>53</v>
      </c>
      <c r="B61" s="146"/>
      <c r="C61" s="146"/>
      <c r="D61" s="146"/>
      <c r="E61" s="146"/>
      <c r="F61" s="146"/>
      <c r="G61" s="11" t="s">
        <v>54</v>
      </c>
      <c r="H61" s="56"/>
      <c r="I61" s="24"/>
      <c r="K61" s="29"/>
    </row>
    <row r="62" spans="1:11" ht="12.75">
      <c r="A62" s="162" t="s">
        <v>138</v>
      </c>
      <c r="B62" s="162"/>
      <c r="C62" s="162"/>
      <c r="D62" s="162"/>
      <c r="E62" s="162"/>
      <c r="F62" s="162"/>
      <c r="G62" s="13">
        <v>300</v>
      </c>
      <c r="H62" s="62">
        <f>SUM(H54:H61)</f>
        <v>11778705.767</v>
      </c>
      <c r="I62" s="62">
        <f>SUM(I54:I61)</f>
        <v>14414167</v>
      </c>
      <c r="K62" s="29"/>
    </row>
    <row r="63" spans="1:11" s="9" customFormat="1" ht="12.75" customHeight="1">
      <c r="A63" s="163" t="s">
        <v>56</v>
      </c>
      <c r="B63" s="163"/>
      <c r="C63" s="163"/>
      <c r="D63" s="163"/>
      <c r="E63" s="163"/>
      <c r="F63" s="163"/>
      <c r="G63" s="14"/>
      <c r="H63" s="62">
        <f>H46+H52+H62</f>
        <v>111025014.823</v>
      </c>
      <c r="I63" s="25">
        <f>I46+I52+I62</f>
        <v>99911285</v>
      </c>
      <c r="K63" s="29"/>
    </row>
    <row r="64" spans="1:12" s="9" customFormat="1" ht="12.75" customHeight="1">
      <c r="A64" s="9" t="s">
        <v>57</v>
      </c>
      <c r="H64" s="38"/>
      <c r="I64" s="28"/>
      <c r="K64" s="30"/>
      <c r="L64" s="29"/>
    </row>
    <row r="65" spans="2:9" s="9" customFormat="1" ht="12.75" customHeight="1">
      <c r="B65" s="164" t="s">
        <v>58</v>
      </c>
      <c r="C65" s="164"/>
      <c r="D65" s="159" t="s">
        <v>59</v>
      </c>
      <c r="E65" s="159"/>
      <c r="F65" s="159"/>
      <c r="G65" s="159"/>
      <c r="H65" s="7" t="s">
        <v>60</v>
      </c>
      <c r="I65" s="29"/>
    </row>
    <row r="66" spans="3:9" s="2" customFormat="1" ht="12.75" customHeight="1">
      <c r="C66" s="2" t="s">
        <v>61</v>
      </c>
      <c r="H66" s="15" t="s">
        <v>62</v>
      </c>
      <c r="I66" s="27"/>
    </row>
    <row r="67" spans="2:8" s="2" customFormat="1" ht="12.75" customHeight="1">
      <c r="B67" s="122" t="s">
        <v>63</v>
      </c>
      <c r="C67" s="122"/>
      <c r="D67" s="159" t="s">
        <v>149</v>
      </c>
      <c r="E67" s="159"/>
      <c r="F67" s="159"/>
      <c r="G67" s="159"/>
      <c r="H67" s="7" t="s">
        <v>60</v>
      </c>
    </row>
    <row r="68" spans="3:8" s="2" customFormat="1" ht="12" customHeight="1">
      <c r="C68" s="2" t="s">
        <v>61</v>
      </c>
      <c r="H68" s="15" t="s">
        <v>62</v>
      </c>
    </row>
    <row r="69" spans="10:255" ht="12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="2" customFormat="1" ht="12.75">
      <c r="B70" s="2" t="s">
        <v>64</v>
      </c>
    </row>
    <row r="71" ht="12.75">
      <c r="I71" s="27"/>
    </row>
  </sheetData>
  <sheetProtection/>
  <mergeCells count="70">
    <mergeCell ref="B67:C67"/>
    <mergeCell ref="D67:G67"/>
    <mergeCell ref="H13:H14"/>
    <mergeCell ref="A51:F51"/>
    <mergeCell ref="A46:F46"/>
    <mergeCell ref="A47:F47"/>
    <mergeCell ref="A48:F48"/>
    <mergeCell ref="A62:F62"/>
    <mergeCell ref="A63:F63"/>
    <mergeCell ref="B65:C65"/>
    <mergeCell ref="D65:G65"/>
    <mergeCell ref="A61:F61"/>
    <mergeCell ref="A52:F52"/>
    <mergeCell ref="A60:F60"/>
    <mergeCell ref="A57:F57"/>
    <mergeCell ref="A53:F53"/>
    <mergeCell ref="A54:F54"/>
    <mergeCell ref="A59:F59"/>
    <mergeCell ref="A58:F58"/>
    <mergeCell ref="A56:F56"/>
    <mergeCell ref="A42:F42"/>
    <mergeCell ref="A43:F43"/>
    <mergeCell ref="A44:F44"/>
    <mergeCell ref="A45:F45"/>
    <mergeCell ref="A49:F49"/>
    <mergeCell ref="A50:F50"/>
    <mergeCell ref="A41:F41"/>
    <mergeCell ref="A35:F35"/>
    <mergeCell ref="A22:F22"/>
    <mergeCell ref="A30:F30"/>
    <mergeCell ref="A31:F31"/>
    <mergeCell ref="A32:F32"/>
    <mergeCell ref="A25:F25"/>
    <mergeCell ref="A27:F27"/>
    <mergeCell ref="A38:F39"/>
    <mergeCell ref="A21:F21"/>
    <mergeCell ref="A28:F28"/>
    <mergeCell ref="A16:F16"/>
    <mergeCell ref="A17:F17"/>
    <mergeCell ref="A20:F20"/>
    <mergeCell ref="A18:F18"/>
    <mergeCell ref="A23:F23"/>
    <mergeCell ref="A24:F24"/>
    <mergeCell ref="A26:F26"/>
    <mergeCell ref="A19:F19"/>
    <mergeCell ref="A13:F14"/>
    <mergeCell ref="A15:F15"/>
    <mergeCell ref="A9:D9"/>
    <mergeCell ref="E9:I9"/>
    <mergeCell ref="I13:I14"/>
    <mergeCell ref="G13:G14"/>
    <mergeCell ref="A10:D10"/>
    <mergeCell ref="E10:I10"/>
    <mergeCell ref="D4:F4"/>
    <mergeCell ref="E5:G5"/>
    <mergeCell ref="E6:G6"/>
    <mergeCell ref="A7:D7"/>
    <mergeCell ref="E7:I7"/>
    <mergeCell ref="A8:D8"/>
    <mergeCell ref="E8:I8"/>
    <mergeCell ref="G38:G39"/>
    <mergeCell ref="H38:H39"/>
    <mergeCell ref="I38:I39"/>
    <mergeCell ref="A29:F29"/>
    <mergeCell ref="A55:F55"/>
    <mergeCell ref="A37:F37"/>
    <mergeCell ref="A33:F33"/>
    <mergeCell ref="A34:F34"/>
    <mergeCell ref="A36:F36"/>
    <mergeCell ref="A40:F40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48"/>
  <sheetViews>
    <sheetView zoomScalePageLayoutView="0" workbookViewId="0" topLeftCell="A1">
      <selection activeCell="I44" sqref="I44"/>
    </sheetView>
  </sheetViews>
  <sheetFormatPr defaultColWidth="8.8515625" defaultRowHeight="12.7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2.00390625" style="9" customWidth="1"/>
    <col min="7" max="7" width="6.57421875" style="9" customWidth="1"/>
    <col min="8" max="9" width="14.7109375" style="9" customWidth="1"/>
    <col min="10" max="10" width="19.57421875" style="9" customWidth="1"/>
    <col min="11" max="11" width="14.7109375" style="9" customWidth="1"/>
    <col min="12" max="12" width="11.140625" style="9" customWidth="1"/>
    <col min="13" max="16384" width="8.8515625" style="9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9" s="6" customFormat="1" ht="12.75" customHeight="1">
      <c r="A6" s="173" t="s">
        <v>134</v>
      </c>
      <c r="B6" s="173"/>
      <c r="C6" s="173"/>
      <c r="D6" s="173"/>
      <c r="E6" s="173"/>
      <c r="F6" s="173"/>
      <c r="G6" s="174"/>
      <c r="H6" s="174"/>
      <c r="I6" s="99"/>
    </row>
    <row r="7" spans="4:7" ht="12.75">
      <c r="D7" s="153" t="s">
        <v>210</v>
      </c>
      <c r="E7" s="153"/>
      <c r="F7" s="153"/>
      <c r="G7" s="153"/>
    </row>
    <row r="8" spans="4:7" ht="12.75" customHeight="1">
      <c r="D8" s="153"/>
      <c r="E8" s="153"/>
      <c r="F8" s="153"/>
      <c r="G8" s="153"/>
    </row>
    <row r="9" spans="10:255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9" s="2" customFormat="1" ht="12.75" customHeight="1">
      <c r="A10" s="154" t="s">
        <v>0</v>
      </c>
      <c r="B10" s="154"/>
      <c r="C10" s="154"/>
      <c r="D10" s="154"/>
      <c r="E10" s="107" t="s">
        <v>1</v>
      </c>
      <c r="F10" s="107"/>
      <c r="G10" s="107"/>
      <c r="H10" s="107"/>
      <c r="I10" s="100"/>
    </row>
    <row r="11" spans="1:9" s="2" customFormat="1" ht="12.75" customHeight="1">
      <c r="A11" s="154" t="s">
        <v>2</v>
      </c>
      <c r="B11" s="154"/>
      <c r="C11" s="154"/>
      <c r="D11" s="154"/>
      <c r="E11" s="175" t="s">
        <v>3</v>
      </c>
      <c r="F11" s="175"/>
      <c r="G11" s="175"/>
      <c r="H11" s="175"/>
      <c r="I11" s="101"/>
    </row>
    <row r="12" spans="1:9" s="2" customFormat="1" ht="12.75" customHeight="1">
      <c r="A12" s="154" t="s">
        <v>4</v>
      </c>
      <c r="B12" s="154"/>
      <c r="C12" s="154"/>
      <c r="D12" s="154"/>
      <c r="E12" s="159" t="s">
        <v>5</v>
      </c>
      <c r="F12" s="159"/>
      <c r="G12" s="159"/>
      <c r="H12" s="159"/>
      <c r="I12" s="98"/>
    </row>
    <row r="13" spans="1:9" s="2" customFormat="1" ht="12.75" customHeight="1">
      <c r="A13" s="154" t="s">
        <v>6</v>
      </c>
      <c r="B13" s="154"/>
      <c r="C13" s="154"/>
      <c r="D13" s="154"/>
      <c r="E13" s="159" t="s">
        <v>133</v>
      </c>
      <c r="F13" s="159"/>
      <c r="G13" s="159"/>
      <c r="H13" s="159"/>
      <c r="I13" s="98"/>
    </row>
    <row r="14" spans="8:9" ht="12.75" customHeight="1">
      <c r="H14" s="8"/>
      <c r="I14" s="8"/>
    </row>
    <row r="15" spans="1:9" ht="12.75" customHeight="1">
      <c r="A15" s="111" t="s">
        <v>65</v>
      </c>
      <c r="B15" s="111"/>
      <c r="C15" s="111"/>
      <c r="D15" s="111"/>
      <c r="E15" s="111"/>
      <c r="F15" s="111"/>
      <c r="G15" s="143" t="s">
        <v>8</v>
      </c>
      <c r="H15" s="143" t="s">
        <v>212</v>
      </c>
      <c r="I15" s="143" t="s">
        <v>211</v>
      </c>
    </row>
    <row r="16" spans="1:9" ht="21.75" customHeight="1">
      <c r="A16" s="111"/>
      <c r="B16" s="111"/>
      <c r="C16" s="111"/>
      <c r="D16" s="111"/>
      <c r="E16" s="111"/>
      <c r="F16" s="111"/>
      <c r="G16" s="144"/>
      <c r="H16" s="144"/>
      <c r="I16" s="144"/>
    </row>
    <row r="17" spans="1:10" ht="12.75" customHeight="1">
      <c r="A17" s="170" t="s">
        <v>135</v>
      </c>
      <c r="B17" s="170"/>
      <c r="C17" s="170"/>
      <c r="D17" s="170"/>
      <c r="E17" s="170"/>
      <c r="F17" s="170"/>
      <c r="G17" s="11" t="s">
        <v>9</v>
      </c>
      <c r="H17" s="74">
        <f>6460779.548</f>
        <v>6460779.548</v>
      </c>
      <c r="I17" s="74">
        <f>6059193.368</f>
        <v>6059193.368</v>
      </c>
      <c r="J17" s="29"/>
    </row>
    <row r="18" spans="1:10" ht="12.75" customHeight="1">
      <c r="A18" s="170" t="s">
        <v>70</v>
      </c>
      <c r="B18" s="170"/>
      <c r="C18" s="170"/>
      <c r="D18" s="170"/>
      <c r="E18" s="170"/>
      <c r="F18" s="170"/>
      <c r="G18" s="66" t="s">
        <v>10</v>
      </c>
      <c r="H18" s="74">
        <f>1861800.032</f>
        <v>1861800.032</v>
      </c>
      <c r="I18" s="74">
        <f>1805699.073</f>
        <v>1805699.073</v>
      </c>
      <c r="J18" s="29"/>
    </row>
    <row r="19" spans="1:10" ht="12.75" customHeight="1">
      <c r="A19" s="172" t="s">
        <v>160</v>
      </c>
      <c r="B19" s="172"/>
      <c r="C19" s="172"/>
      <c r="D19" s="172"/>
      <c r="E19" s="172"/>
      <c r="F19" s="172"/>
      <c r="G19" s="68" t="s">
        <v>11</v>
      </c>
      <c r="H19" s="78">
        <f>H17-H18</f>
        <v>4598979.516000001</v>
      </c>
      <c r="I19" s="78">
        <f>I17-I18</f>
        <v>4253494.295</v>
      </c>
      <c r="J19" s="29"/>
    </row>
    <row r="20" spans="1:11" ht="12.75" customHeight="1">
      <c r="A20" s="170" t="s">
        <v>136</v>
      </c>
      <c r="B20" s="170"/>
      <c r="C20" s="170"/>
      <c r="D20" s="170"/>
      <c r="E20" s="170"/>
      <c r="F20" s="170"/>
      <c r="G20" s="66" t="s">
        <v>12</v>
      </c>
      <c r="H20" s="74">
        <f>268057.391</f>
        <v>268057.391</v>
      </c>
      <c r="I20" s="74">
        <f>253966.164</f>
        <v>253966.164</v>
      </c>
      <c r="J20" s="29"/>
      <c r="K20" s="29"/>
    </row>
    <row r="21" spans="1:10" ht="12">
      <c r="A21" s="170" t="s">
        <v>170</v>
      </c>
      <c r="B21" s="170"/>
      <c r="C21" s="170"/>
      <c r="D21" s="170"/>
      <c r="E21" s="170"/>
      <c r="F21" s="170"/>
      <c r="G21" s="66" t="s">
        <v>13</v>
      </c>
      <c r="H21" s="74">
        <f>28724.498</f>
        <v>28724.498</v>
      </c>
      <c r="I21" s="74">
        <f>30704.278</f>
        <v>30704.278</v>
      </c>
      <c r="J21" s="29"/>
    </row>
    <row r="22" spans="1:11" ht="12.75" customHeight="1" hidden="1">
      <c r="A22" s="170" t="s">
        <v>71</v>
      </c>
      <c r="B22" s="170"/>
      <c r="C22" s="170"/>
      <c r="D22" s="170"/>
      <c r="E22" s="170"/>
      <c r="F22" s="170"/>
      <c r="G22" s="66" t="s">
        <v>66</v>
      </c>
      <c r="H22" s="74"/>
      <c r="I22" s="74"/>
      <c r="J22" s="29"/>
      <c r="K22" s="29"/>
    </row>
    <row r="23" spans="1:11" ht="12.75" customHeight="1">
      <c r="A23" s="170" t="s">
        <v>174</v>
      </c>
      <c r="B23" s="170"/>
      <c r="C23" s="170"/>
      <c r="D23" s="170"/>
      <c r="E23" s="170"/>
      <c r="F23" s="170"/>
      <c r="G23" s="66" t="s">
        <v>14</v>
      </c>
      <c r="H23" s="74">
        <f>38979.42</f>
        <v>38979.42</v>
      </c>
      <c r="I23" s="74">
        <f>37799.247</f>
        <v>37799.247</v>
      </c>
      <c r="J23" s="29"/>
      <c r="K23" s="29"/>
    </row>
    <row r="24" spans="1:11" ht="12.75" customHeight="1">
      <c r="A24" s="170" t="s">
        <v>168</v>
      </c>
      <c r="B24" s="170"/>
      <c r="C24" s="170"/>
      <c r="D24" s="170"/>
      <c r="E24" s="170"/>
      <c r="F24" s="170"/>
      <c r="G24" s="66" t="s">
        <v>15</v>
      </c>
      <c r="H24" s="74">
        <f>10977.153</f>
        <v>10977.153</v>
      </c>
      <c r="I24" s="74">
        <f>10198.619</f>
        <v>10198.619</v>
      </c>
      <c r="J24" s="29"/>
      <c r="K24" s="29"/>
    </row>
    <row r="25" spans="1:11" ht="12.75" customHeight="1">
      <c r="A25" s="171" t="s">
        <v>169</v>
      </c>
      <c r="B25" s="171"/>
      <c r="C25" s="171"/>
      <c r="D25" s="171"/>
      <c r="E25" s="171"/>
      <c r="F25" s="171"/>
      <c r="G25" s="68" t="s">
        <v>155</v>
      </c>
      <c r="H25" s="20">
        <f>H19+H21-H20-H23-H24</f>
        <v>4309690.050000001</v>
      </c>
      <c r="I25" s="20">
        <f>I19+I21-I20-I23-I24</f>
        <v>3982234.543</v>
      </c>
      <c r="J25" s="29"/>
      <c r="K25" s="29"/>
    </row>
    <row r="26" spans="1:11" ht="12.75" customHeight="1">
      <c r="A26" s="170" t="s">
        <v>154</v>
      </c>
      <c r="B26" s="170"/>
      <c r="C26" s="170"/>
      <c r="D26" s="170"/>
      <c r="E26" s="170"/>
      <c r="F26" s="170"/>
      <c r="G26" s="66" t="s">
        <v>156</v>
      </c>
      <c r="H26" s="65">
        <f>20746.193</f>
        <v>20746.193</v>
      </c>
      <c r="I26" s="65">
        <f>11459.8</f>
        <v>11459.8</v>
      </c>
      <c r="J26" s="29"/>
      <c r="K26" s="29"/>
    </row>
    <row r="27" spans="1:11" ht="16.5" customHeight="1">
      <c r="A27" s="170" t="s">
        <v>137</v>
      </c>
      <c r="B27" s="170"/>
      <c r="C27" s="170"/>
      <c r="D27" s="170"/>
      <c r="E27" s="170"/>
      <c r="F27" s="170"/>
      <c r="G27" s="66" t="s">
        <v>157</v>
      </c>
      <c r="H27" s="65">
        <f>1319234.565</f>
        <v>1319234.565</v>
      </c>
      <c r="I27" s="65">
        <f>1363509.79</f>
        <v>1363509.79</v>
      </c>
      <c r="J27" s="29"/>
      <c r="K27" s="29"/>
    </row>
    <row r="28" spans="1:11" ht="13.5" customHeight="1">
      <c r="A28" s="170" t="s">
        <v>171</v>
      </c>
      <c r="B28" s="170"/>
      <c r="C28" s="170"/>
      <c r="D28" s="170"/>
      <c r="E28" s="170"/>
      <c r="F28" s="170"/>
      <c r="G28" s="66" t="s">
        <v>17</v>
      </c>
      <c r="H28" s="65">
        <f>584494.838</f>
        <v>584494.838</v>
      </c>
      <c r="I28" s="65">
        <f>241023.522</f>
        <v>241023.522</v>
      </c>
      <c r="J28" s="29"/>
      <c r="K28" s="29"/>
    </row>
    <row r="29" spans="1:11" ht="25.5" customHeight="1">
      <c r="A29" s="165" t="s">
        <v>159</v>
      </c>
      <c r="B29" s="165"/>
      <c r="C29" s="165"/>
      <c r="D29" s="165"/>
      <c r="E29" s="165"/>
      <c r="F29" s="165"/>
      <c r="G29" s="68" t="s">
        <v>18</v>
      </c>
      <c r="H29" s="20">
        <f>H25+H26-H27-H28</f>
        <v>2426706.840000001</v>
      </c>
      <c r="I29" s="20">
        <f>I25+I26-I27-I28</f>
        <v>2389161.031</v>
      </c>
      <c r="J29" s="29"/>
      <c r="K29" s="36"/>
    </row>
    <row r="30" spans="1:10" s="18" customFormat="1" ht="12.75" customHeight="1">
      <c r="A30" s="166" t="s">
        <v>126</v>
      </c>
      <c r="B30" s="166"/>
      <c r="C30" s="166"/>
      <c r="D30" s="166"/>
      <c r="E30" s="166"/>
      <c r="F30" s="166"/>
      <c r="G30" s="66" t="s">
        <v>20</v>
      </c>
      <c r="H30" s="21">
        <f>116932.998</f>
        <v>116932.998</v>
      </c>
      <c r="I30" s="21">
        <f>116932.998</f>
        <v>116932.998</v>
      </c>
      <c r="J30" s="29"/>
    </row>
    <row r="31" spans="1:10" ht="29.25" customHeight="1">
      <c r="A31" s="167" t="s">
        <v>173</v>
      </c>
      <c r="B31" s="167"/>
      <c r="C31" s="167"/>
      <c r="D31" s="167"/>
      <c r="E31" s="167"/>
      <c r="F31" s="167"/>
      <c r="G31" s="68" t="s">
        <v>22</v>
      </c>
      <c r="H31" s="22">
        <f>H29-H30</f>
        <v>2309773.8420000006</v>
      </c>
      <c r="I31" s="22">
        <f>I29-I30</f>
        <v>2272228.033</v>
      </c>
      <c r="J31" s="29"/>
    </row>
    <row r="32" spans="1:10" ht="24" customHeight="1" hidden="1">
      <c r="A32" s="167" t="s">
        <v>158</v>
      </c>
      <c r="B32" s="167"/>
      <c r="C32" s="167"/>
      <c r="D32" s="167"/>
      <c r="E32" s="167"/>
      <c r="F32" s="167"/>
      <c r="G32" s="68" t="s">
        <v>20</v>
      </c>
      <c r="H32" s="22"/>
      <c r="I32" s="22"/>
      <c r="J32" s="29"/>
    </row>
    <row r="33" spans="1:10" ht="24.75" customHeight="1">
      <c r="A33" s="168" t="s">
        <v>172</v>
      </c>
      <c r="B33" s="168"/>
      <c r="C33" s="168"/>
      <c r="D33" s="168"/>
      <c r="E33" s="168"/>
      <c r="F33" s="168"/>
      <c r="G33" s="75" t="s">
        <v>22</v>
      </c>
      <c r="H33" s="23">
        <f>H31+H32</f>
        <v>2309773.8420000006</v>
      </c>
      <c r="I33" s="23">
        <f>I31+I32</f>
        <v>2272228.033</v>
      </c>
      <c r="J33" s="29"/>
    </row>
    <row r="34" spans="8:9" ht="11.25" customHeight="1">
      <c r="H34" s="29"/>
      <c r="I34" s="29"/>
    </row>
    <row r="35" spans="2:12" ht="12" customHeight="1">
      <c r="B35" s="16" t="s">
        <v>58</v>
      </c>
      <c r="C35" s="17"/>
      <c r="D35" s="159" t="s">
        <v>59</v>
      </c>
      <c r="E35" s="159"/>
      <c r="F35" s="159"/>
      <c r="G35" s="169"/>
      <c r="H35" s="169"/>
      <c r="I35" s="102"/>
      <c r="J35" s="29"/>
      <c r="L35" s="29"/>
    </row>
    <row r="36" spans="1:9" s="19" customFormat="1" ht="12.75" customHeight="1">
      <c r="A36" s="9"/>
      <c r="B36" s="9"/>
      <c r="C36" s="9" t="s">
        <v>61</v>
      </c>
      <c r="D36" s="9"/>
      <c r="E36" s="9"/>
      <c r="F36" s="9"/>
      <c r="G36" s="121"/>
      <c r="H36" s="121"/>
      <c r="I36" s="97"/>
    </row>
    <row r="37" spans="1:9" ht="12.75" customHeight="1">
      <c r="A37" s="2"/>
      <c r="B37" s="2" t="s">
        <v>72</v>
      </c>
      <c r="C37" s="2"/>
      <c r="D37" s="159" t="s">
        <v>149</v>
      </c>
      <c r="E37" s="159"/>
      <c r="F37" s="159"/>
      <c r="G37" s="159"/>
      <c r="H37" s="159"/>
      <c r="I37" s="98"/>
    </row>
    <row r="38" spans="3:9" ht="12.75" customHeight="1">
      <c r="C38" s="9" t="s">
        <v>61</v>
      </c>
      <c r="G38" s="121"/>
      <c r="H38" s="121"/>
      <c r="I38" s="97"/>
    </row>
    <row r="39" spans="8:9" ht="12.75" customHeight="1">
      <c r="H39" s="29"/>
      <c r="I39" s="29"/>
    </row>
    <row r="40" spans="1:9" s="2" customFormat="1" ht="12.75" customHeight="1">
      <c r="A40" s="9"/>
      <c r="B40" s="2" t="s">
        <v>64</v>
      </c>
      <c r="C40" s="9"/>
      <c r="D40" s="9"/>
      <c r="E40" s="9"/>
      <c r="F40" s="9"/>
      <c r="G40" s="9"/>
      <c r="H40" s="9"/>
      <c r="I40" s="9"/>
    </row>
    <row r="41" ht="12.75" customHeight="1"/>
    <row r="42" spans="1:25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9" ht="12.75">
      <c r="A43"/>
      <c r="B43"/>
      <c r="C43"/>
      <c r="D43"/>
      <c r="E43"/>
      <c r="F43"/>
      <c r="G43"/>
      <c r="H43"/>
      <c r="I43"/>
    </row>
    <row r="45" ht="12.75">
      <c r="A45" s="5"/>
    </row>
    <row r="46" ht="12.75">
      <c r="A46" s="32"/>
    </row>
    <row r="47" ht="12.75">
      <c r="A47" s="33"/>
    </row>
    <row r="48" ht="12">
      <c r="A48" s="34"/>
    </row>
  </sheetData>
  <sheetProtection/>
  <mergeCells count="39">
    <mergeCell ref="I15:I16"/>
    <mergeCell ref="A6:F6"/>
    <mergeCell ref="G6:H6"/>
    <mergeCell ref="D7:G7"/>
    <mergeCell ref="D8:G8"/>
    <mergeCell ref="A10:D10"/>
    <mergeCell ref="E10:H10"/>
    <mergeCell ref="A11:D11"/>
    <mergeCell ref="E11:H11"/>
    <mergeCell ref="A12:D12"/>
    <mergeCell ref="E12:H12"/>
    <mergeCell ref="A13:D13"/>
    <mergeCell ref="E13:H13"/>
    <mergeCell ref="A15:F16"/>
    <mergeCell ref="G15:G16"/>
    <mergeCell ref="H15:H16"/>
    <mergeCell ref="A17:F17"/>
    <mergeCell ref="A18:F18"/>
    <mergeCell ref="A19:F19"/>
    <mergeCell ref="A20:F20"/>
    <mergeCell ref="A21:F21"/>
    <mergeCell ref="A22:F22"/>
    <mergeCell ref="D37:F37"/>
    <mergeCell ref="A23:F23"/>
    <mergeCell ref="A24:F24"/>
    <mergeCell ref="A25:F25"/>
    <mergeCell ref="A26:F26"/>
    <mergeCell ref="A27:F27"/>
    <mergeCell ref="A28:F28"/>
    <mergeCell ref="G37:H37"/>
    <mergeCell ref="A29:F29"/>
    <mergeCell ref="A30:F30"/>
    <mergeCell ref="A31:F31"/>
    <mergeCell ref="G38:H38"/>
    <mergeCell ref="A32:F32"/>
    <mergeCell ref="A33:F33"/>
    <mergeCell ref="D35:F35"/>
    <mergeCell ref="G35:H35"/>
    <mergeCell ref="G36:H3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T48"/>
  <sheetViews>
    <sheetView zoomScalePageLayoutView="0" workbookViewId="0" topLeftCell="A1">
      <selection activeCell="J27" sqref="J27"/>
    </sheetView>
  </sheetViews>
  <sheetFormatPr defaultColWidth="8.8515625" defaultRowHeight="12.7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2.00390625" style="9" customWidth="1"/>
    <col min="7" max="7" width="6.57421875" style="9" customWidth="1"/>
    <col min="8" max="8" width="14.7109375" style="9" customWidth="1"/>
    <col min="9" max="9" width="19.57421875" style="9" customWidth="1"/>
    <col min="10" max="10" width="14.7109375" style="9" customWidth="1"/>
    <col min="11" max="11" width="11.140625" style="9" customWidth="1"/>
    <col min="12" max="16384" width="8.8515625" style="9" customWidth="1"/>
  </cols>
  <sheetData>
    <row r="1" s="1" customFormat="1" ht="12.75" customHeight="1"/>
    <row r="2" ht="12.75" customHeight="1"/>
    <row r="3" spans="5:8" s="2" customFormat="1" ht="12.75" customHeight="1">
      <c r="E3" s="3"/>
      <c r="F3" s="3"/>
      <c r="G3" s="3"/>
      <c r="H3" s="3"/>
    </row>
    <row r="4" spans="5:8" s="2" customFormat="1" ht="12.75" customHeight="1">
      <c r="E4" s="3"/>
      <c r="F4" s="3"/>
      <c r="G4" s="3"/>
      <c r="H4" s="3"/>
    </row>
    <row r="5" ht="12.75" customHeight="1"/>
    <row r="6" spans="1:8" s="6" customFormat="1" ht="12.75" customHeight="1">
      <c r="A6" s="173" t="s">
        <v>134</v>
      </c>
      <c r="B6" s="173"/>
      <c r="C6" s="173"/>
      <c r="D6" s="173"/>
      <c r="E6" s="173"/>
      <c r="F6" s="173"/>
      <c r="G6" s="174"/>
      <c r="H6" s="174"/>
    </row>
    <row r="7" spans="4:7" ht="12.75">
      <c r="D7" s="153" t="s">
        <v>208</v>
      </c>
      <c r="E7" s="153"/>
      <c r="F7" s="153"/>
      <c r="G7" s="153"/>
    </row>
    <row r="8" spans="4:7" ht="12.75" customHeight="1">
      <c r="D8" s="153"/>
      <c r="E8" s="153"/>
      <c r="F8" s="153"/>
      <c r="G8" s="153"/>
    </row>
    <row r="9" spans="9:254" ht="12.75"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154" t="s">
        <v>0</v>
      </c>
      <c r="B10" s="154"/>
      <c r="C10" s="154"/>
      <c r="D10" s="154"/>
      <c r="E10" s="107" t="s">
        <v>1</v>
      </c>
      <c r="F10" s="107"/>
      <c r="G10" s="107"/>
      <c r="H10" s="107"/>
    </row>
    <row r="11" spans="1:8" s="2" customFormat="1" ht="12.75" customHeight="1">
      <c r="A11" s="154" t="s">
        <v>2</v>
      </c>
      <c r="B11" s="154"/>
      <c r="C11" s="154"/>
      <c r="D11" s="154"/>
      <c r="E11" s="175" t="s">
        <v>3</v>
      </c>
      <c r="F11" s="175"/>
      <c r="G11" s="175"/>
      <c r="H11" s="175"/>
    </row>
    <row r="12" spans="1:8" s="2" customFormat="1" ht="12.75" customHeight="1">
      <c r="A12" s="154" t="s">
        <v>4</v>
      </c>
      <c r="B12" s="154"/>
      <c r="C12" s="154"/>
      <c r="D12" s="154"/>
      <c r="E12" s="159" t="s">
        <v>5</v>
      </c>
      <c r="F12" s="159"/>
      <c r="G12" s="159"/>
      <c r="H12" s="159"/>
    </row>
    <row r="13" spans="1:8" s="2" customFormat="1" ht="12.75" customHeight="1">
      <c r="A13" s="154" t="s">
        <v>6</v>
      </c>
      <c r="B13" s="154"/>
      <c r="C13" s="154"/>
      <c r="D13" s="154"/>
      <c r="E13" s="159" t="s">
        <v>133</v>
      </c>
      <c r="F13" s="159"/>
      <c r="G13" s="159"/>
      <c r="H13" s="159"/>
    </row>
    <row r="14" ht="12.75" customHeight="1">
      <c r="H14" s="8"/>
    </row>
    <row r="15" spans="1:8" ht="12.75" customHeight="1">
      <c r="A15" s="111" t="s">
        <v>65</v>
      </c>
      <c r="B15" s="111"/>
      <c r="C15" s="111"/>
      <c r="D15" s="111"/>
      <c r="E15" s="111"/>
      <c r="F15" s="111"/>
      <c r="G15" s="143" t="s">
        <v>8</v>
      </c>
      <c r="H15" s="143" t="s">
        <v>209</v>
      </c>
    </row>
    <row r="16" spans="1:8" ht="21.75" customHeight="1">
      <c r="A16" s="111"/>
      <c r="B16" s="111"/>
      <c r="C16" s="111"/>
      <c r="D16" s="111"/>
      <c r="E16" s="111"/>
      <c r="F16" s="111"/>
      <c r="G16" s="144"/>
      <c r="H16" s="144"/>
    </row>
    <row r="17" spans="1:8" ht="12.75" customHeight="1">
      <c r="A17" s="170" t="s">
        <v>135</v>
      </c>
      <c r="B17" s="170"/>
      <c r="C17" s="170"/>
      <c r="D17" s="170"/>
      <c r="E17" s="170"/>
      <c r="F17" s="170"/>
      <c r="G17" s="11" t="s">
        <v>9</v>
      </c>
      <c r="H17" s="74">
        <f>18474310.967</f>
        <v>18474310.967</v>
      </c>
    </row>
    <row r="18" spans="1:8" ht="12.75" customHeight="1">
      <c r="A18" s="170" t="s">
        <v>70</v>
      </c>
      <c r="B18" s="170"/>
      <c r="C18" s="170"/>
      <c r="D18" s="170"/>
      <c r="E18" s="170"/>
      <c r="F18" s="170"/>
      <c r="G18" s="66" t="s">
        <v>10</v>
      </c>
      <c r="H18" s="74">
        <v>5550182.997</v>
      </c>
    </row>
    <row r="19" spans="1:9" ht="12.75" customHeight="1">
      <c r="A19" s="172" t="s">
        <v>160</v>
      </c>
      <c r="B19" s="172"/>
      <c r="C19" s="172"/>
      <c r="D19" s="172"/>
      <c r="E19" s="172"/>
      <c r="F19" s="172"/>
      <c r="G19" s="68" t="s">
        <v>11</v>
      </c>
      <c r="H19" s="78">
        <f>H17-H18</f>
        <v>12924127.969999999</v>
      </c>
      <c r="I19" s="35"/>
    </row>
    <row r="20" spans="1:10" ht="12.75" customHeight="1">
      <c r="A20" s="170" t="s">
        <v>136</v>
      </c>
      <c r="B20" s="170"/>
      <c r="C20" s="170"/>
      <c r="D20" s="170"/>
      <c r="E20" s="170"/>
      <c r="F20" s="170"/>
      <c r="G20" s="66" t="s">
        <v>12</v>
      </c>
      <c r="H20" s="74">
        <f>1363366.673</f>
        <v>1363366.673</v>
      </c>
      <c r="I20" s="17"/>
      <c r="J20" s="29"/>
    </row>
    <row r="21" spans="1:9" ht="12">
      <c r="A21" s="170" t="s">
        <v>170</v>
      </c>
      <c r="B21" s="170"/>
      <c r="C21" s="170"/>
      <c r="D21" s="170"/>
      <c r="E21" s="170"/>
      <c r="F21" s="170"/>
      <c r="G21" s="66" t="s">
        <v>13</v>
      </c>
      <c r="H21" s="74">
        <f>125413.992</f>
        <v>125413.992</v>
      </c>
      <c r="I21" s="35"/>
    </row>
    <row r="22" spans="1:10" ht="12.75" customHeight="1" hidden="1">
      <c r="A22" s="170" t="s">
        <v>71</v>
      </c>
      <c r="B22" s="170"/>
      <c r="C22" s="170"/>
      <c r="D22" s="170"/>
      <c r="E22" s="170"/>
      <c r="F22" s="170"/>
      <c r="G22" s="66" t="s">
        <v>66</v>
      </c>
      <c r="H22" s="74"/>
      <c r="I22" s="17"/>
      <c r="J22" s="29"/>
    </row>
    <row r="23" spans="1:10" ht="12.75" customHeight="1">
      <c r="A23" s="170" t="s">
        <v>174</v>
      </c>
      <c r="B23" s="170"/>
      <c r="C23" s="170"/>
      <c r="D23" s="170"/>
      <c r="E23" s="170"/>
      <c r="F23" s="170"/>
      <c r="G23" s="66" t="s">
        <v>14</v>
      </c>
      <c r="H23" s="74">
        <f>110707.694</f>
        <v>110707.694</v>
      </c>
      <c r="I23" s="17"/>
      <c r="J23" s="29"/>
    </row>
    <row r="24" spans="1:10" ht="12.75" customHeight="1">
      <c r="A24" s="170" t="s">
        <v>168</v>
      </c>
      <c r="B24" s="170"/>
      <c r="C24" s="170"/>
      <c r="D24" s="170"/>
      <c r="E24" s="170"/>
      <c r="F24" s="170"/>
      <c r="G24" s="66" t="s">
        <v>15</v>
      </c>
      <c r="H24" s="74">
        <f>63880.053</f>
        <v>63880.053</v>
      </c>
      <c r="I24" s="17"/>
      <c r="J24" s="29"/>
    </row>
    <row r="25" spans="1:10" ht="12.75" customHeight="1">
      <c r="A25" s="171" t="s">
        <v>169</v>
      </c>
      <c r="B25" s="171"/>
      <c r="C25" s="171"/>
      <c r="D25" s="171"/>
      <c r="E25" s="171"/>
      <c r="F25" s="171"/>
      <c r="G25" s="68" t="s">
        <v>155</v>
      </c>
      <c r="H25" s="20">
        <f>H19+H21-H20-H23-H24</f>
        <v>11511587.542</v>
      </c>
      <c r="I25" s="17"/>
      <c r="J25" s="29"/>
    </row>
    <row r="26" spans="1:10" ht="12.75" customHeight="1">
      <c r="A26" s="170" t="s">
        <v>154</v>
      </c>
      <c r="B26" s="170"/>
      <c r="C26" s="170"/>
      <c r="D26" s="170"/>
      <c r="E26" s="170"/>
      <c r="F26" s="170"/>
      <c r="G26" s="66" t="s">
        <v>156</v>
      </c>
      <c r="H26" s="65">
        <f>41738.492</f>
        <v>41738.492</v>
      </c>
      <c r="I26" s="17"/>
      <c r="J26" s="29"/>
    </row>
    <row r="27" spans="1:10" ht="16.5" customHeight="1">
      <c r="A27" s="170" t="s">
        <v>137</v>
      </c>
      <c r="B27" s="170"/>
      <c r="C27" s="170"/>
      <c r="D27" s="170"/>
      <c r="E27" s="170"/>
      <c r="F27" s="170"/>
      <c r="G27" s="66" t="s">
        <v>157</v>
      </c>
      <c r="H27" s="65">
        <f>3838196.355</f>
        <v>3838196.355</v>
      </c>
      <c r="I27" s="17"/>
      <c r="J27" s="29"/>
    </row>
    <row r="28" spans="1:10" ht="13.5" customHeight="1">
      <c r="A28" s="170" t="s">
        <v>171</v>
      </c>
      <c r="B28" s="170"/>
      <c r="C28" s="170"/>
      <c r="D28" s="170"/>
      <c r="E28" s="170"/>
      <c r="F28" s="170"/>
      <c r="G28" s="66" t="s">
        <v>17</v>
      </c>
      <c r="H28" s="65">
        <f>852676.359</f>
        <v>852676.359</v>
      </c>
      <c r="I28" s="17"/>
      <c r="J28" s="29"/>
    </row>
    <row r="29" spans="1:10" ht="25.5" customHeight="1">
      <c r="A29" s="165" t="s">
        <v>159</v>
      </c>
      <c r="B29" s="165"/>
      <c r="C29" s="165"/>
      <c r="D29" s="165"/>
      <c r="E29" s="165"/>
      <c r="F29" s="165"/>
      <c r="G29" s="68" t="s">
        <v>18</v>
      </c>
      <c r="H29" s="20">
        <f>H25+H26-H27-H28</f>
        <v>6862453.319999999</v>
      </c>
      <c r="I29" s="17"/>
      <c r="J29" s="36"/>
    </row>
    <row r="30" spans="1:9" s="18" customFormat="1" ht="12.75" customHeight="1">
      <c r="A30" s="166" t="s">
        <v>126</v>
      </c>
      <c r="B30" s="166"/>
      <c r="C30" s="166"/>
      <c r="D30" s="166"/>
      <c r="E30" s="166"/>
      <c r="F30" s="166"/>
      <c r="G30" s="66" t="s">
        <v>20</v>
      </c>
      <c r="H30" s="21">
        <f>352615.997</f>
        <v>352615.997</v>
      </c>
      <c r="I30" s="17"/>
    </row>
    <row r="31" spans="1:9" ht="29.25" customHeight="1">
      <c r="A31" s="167" t="s">
        <v>173</v>
      </c>
      <c r="B31" s="167"/>
      <c r="C31" s="167"/>
      <c r="D31" s="167"/>
      <c r="E31" s="167"/>
      <c r="F31" s="167"/>
      <c r="G31" s="68" t="s">
        <v>22</v>
      </c>
      <c r="H31" s="22">
        <f>H29-H30</f>
        <v>6509837.322999999</v>
      </c>
      <c r="I31" s="17"/>
    </row>
    <row r="32" spans="1:9" ht="24" customHeight="1" hidden="1">
      <c r="A32" s="167" t="s">
        <v>158</v>
      </c>
      <c r="B32" s="167"/>
      <c r="C32" s="167"/>
      <c r="D32" s="167"/>
      <c r="E32" s="167"/>
      <c r="F32" s="167"/>
      <c r="G32" s="68" t="s">
        <v>20</v>
      </c>
      <c r="H32" s="22"/>
      <c r="I32" s="17"/>
    </row>
    <row r="33" spans="1:9" ht="24.75" customHeight="1">
      <c r="A33" s="168" t="s">
        <v>172</v>
      </c>
      <c r="B33" s="168"/>
      <c r="C33" s="168"/>
      <c r="D33" s="168"/>
      <c r="E33" s="168"/>
      <c r="F33" s="168"/>
      <c r="G33" s="75" t="s">
        <v>22</v>
      </c>
      <c r="H33" s="23">
        <f>H31+H32</f>
        <v>6509837.322999999</v>
      </c>
      <c r="I33" s="29"/>
    </row>
    <row r="34" ht="11.25" customHeight="1">
      <c r="H34" s="29"/>
    </row>
    <row r="35" spans="2:11" ht="12" customHeight="1">
      <c r="B35" s="16" t="s">
        <v>58</v>
      </c>
      <c r="C35" s="17"/>
      <c r="D35" s="159" t="s">
        <v>59</v>
      </c>
      <c r="E35" s="159"/>
      <c r="F35" s="159"/>
      <c r="G35" s="169"/>
      <c r="H35" s="169"/>
      <c r="I35" s="29"/>
      <c r="K35" s="29"/>
    </row>
    <row r="36" spans="1:8" s="19" customFormat="1" ht="12.75" customHeight="1">
      <c r="A36" s="9"/>
      <c r="B36" s="9"/>
      <c r="C36" s="9" t="s">
        <v>61</v>
      </c>
      <c r="D36" s="9"/>
      <c r="E36" s="9"/>
      <c r="F36" s="9"/>
      <c r="G36" s="121"/>
      <c r="H36" s="121"/>
    </row>
    <row r="37" spans="1:8" ht="12.75" customHeight="1">
      <c r="A37" s="2"/>
      <c r="B37" s="2" t="s">
        <v>72</v>
      </c>
      <c r="C37" s="2"/>
      <c r="D37" s="159" t="s">
        <v>149</v>
      </c>
      <c r="E37" s="159"/>
      <c r="F37" s="159"/>
      <c r="G37" s="159"/>
      <c r="H37" s="159"/>
    </row>
    <row r="38" spans="3:8" ht="12.75" customHeight="1">
      <c r="C38" s="9" t="s">
        <v>61</v>
      </c>
      <c r="G38" s="121"/>
      <c r="H38" s="121"/>
    </row>
    <row r="39" ht="12.75" customHeight="1">
      <c r="H39" s="29"/>
    </row>
    <row r="40" spans="1:8" s="2" customFormat="1" ht="12.75" customHeight="1">
      <c r="A40" s="9"/>
      <c r="B40" s="2" t="s">
        <v>64</v>
      </c>
      <c r="C40" s="9"/>
      <c r="D40" s="9"/>
      <c r="E40" s="9"/>
      <c r="F40" s="9"/>
      <c r="G40" s="9"/>
      <c r="H40" s="9"/>
    </row>
    <row r="41" ht="12.75" customHeight="1"/>
    <row r="42" spans="1:25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8" ht="12.75">
      <c r="A43"/>
      <c r="B43"/>
      <c r="C43"/>
      <c r="D43"/>
      <c r="E43"/>
      <c r="F43"/>
      <c r="G43"/>
      <c r="H43"/>
    </row>
    <row r="45" ht="12.75">
      <c r="A45" s="5"/>
    </row>
    <row r="46" ht="12.75">
      <c r="A46" s="32"/>
    </row>
    <row r="47" ht="12.75">
      <c r="A47" s="33"/>
    </row>
    <row r="48" ht="12">
      <c r="A48" s="34"/>
    </row>
  </sheetData>
  <sheetProtection/>
  <mergeCells count="38">
    <mergeCell ref="G38:H38"/>
    <mergeCell ref="A33:F33"/>
    <mergeCell ref="D35:F35"/>
    <mergeCell ref="G35:H35"/>
    <mergeCell ref="G36:H36"/>
    <mergeCell ref="D37:F37"/>
    <mergeCell ref="G37:H37"/>
    <mergeCell ref="A26:F26"/>
    <mergeCell ref="A27:F27"/>
    <mergeCell ref="A29:F29"/>
    <mergeCell ref="A30:F30"/>
    <mergeCell ref="A31:F31"/>
    <mergeCell ref="A32:F32"/>
    <mergeCell ref="A28:F28"/>
    <mergeCell ref="A19:F19"/>
    <mergeCell ref="A21:F21"/>
    <mergeCell ref="A20:F20"/>
    <mergeCell ref="A22:F22"/>
    <mergeCell ref="A23:F23"/>
    <mergeCell ref="A25:F25"/>
    <mergeCell ref="A24:F24"/>
    <mergeCell ref="A15:F16"/>
    <mergeCell ref="G15:G16"/>
    <mergeCell ref="H15:H16"/>
    <mergeCell ref="A17:F17"/>
    <mergeCell ref="A18:F18"/>
    <mergeCell ref="A11:D11"/>
    <mergeCell ref="E11:H11"/>
    <mergeCell ref="A12:D12"/>
    <mergeCell ref="E12:H12"/>
    <mergeCell ref="A13:D13"/>
    <mergeCell ref="E13:H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2013-11-11T10:41:41Z</cp:lastPrinted>
  <dcterms:created xsi:type="dcterms:W3CDTF">1996-10-08T23:32:33Z</dcterms:created>
  <dcterms:modified xsi:type="dcterms:W3CDTF">2013-11-15T03:58:14Z</dcterms:modified>
  <cp:category/>
  <cp:version/>
  <cp:contentType/>
  <cp:contentStatus/>
</cp:coreProperties>
</file>