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aashimova\Desktop\Айгуль с раб.стола-2020г\ОТЧЕТЫ- с обменки\Отчетность 2020\БИРЖА\3 кв.2020\"/>
    </mc:Choice>
  </mc:AlternateContent>
  <xr:revisionPtr revIDLastSave="0" documentId="13_ncr:1_{68C373AD-5031-4E5F-BAA9-E51C089F7A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81029" refMode="R1C1"/>
</workbook>
</file>

<file path=xl/calcChain.xml><?xml version="1.0" encoding="utf-8"?>
<calcChain xmlns="http://schemas.openxmlformats.org/spreadsheetml/2006/main">
  <c r="D36" i="1" l="1"/>
  <c r="D32" i="1"/>
  <c r="D35" i="1"/>
  <c r="D34" i="1"/>
  <c r="D33" i="1"/>
  <c r="D31" i="1"/>
  <c r="D14" i="1"/>
  <c r="D11" i="1"/>
  <c r="D10" i="1"/>
  <c r="D60" i="3"/>
  <c r="D62" i="3" s="1"/>
  <c r="C60" i="3"/>
  <c r="C62" i="3"/>
  <c r="D22" i="3"/>
  <c r="C22" i="3"/>
  <c r="D14" i="3"/>
  <c r="C14" i="3"/>
  <c r="E36" i="1" l="1"/>
  <c r="E34" i="1"/>
  <c r="E35" i="1" l="1"/>
  <c r="E32" i="1"/>
  <c r="E31" i="1" l="1"/>
  <c r="E14" i="1"/>
  <c r="E10" i="1"/>
  <c r="G24" i="1" l="1"/>
  <c r="G25" i="1"/>
  <c r="D52" i="3" l="1"/>
  <c r="D46" i="3"/>
  <c r="D15" i="3"/>
  <c r="D8" i="3"/>
  <c r="E8" i="2"/>
  <c r="E17" i="2" s="1"/>
  <c r="E19" i="2" s="1"/>
  <c r="E21" i="2" s="1"/>
  <c r="E23" i="2" s="1"/>
  <c r="D58" i="3" l="1"/>
  <c r="D24" i="3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C44" i="3"/>
  <c r="C24" i="3"/>
  <c r="H19" i="4"/>
  <c r="C19" i="4"/>
  <c r="I26" i="4"/>
  <c r="G21" i="4"/>
  <c r="D21" i="2"/>
  <c r="D23" i="2" s="1"/>
  <c r="E13" i="4" l="1"/>
  <c r="G13" i="4" s="1"/>
  <c r="G28" i="4"/>
  <c r="I28" i="4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D51" i="1" s="1"/>
  <c r="D53" i="1" s="1"/>
  <c r="F19" i="4"/>
  <c r="G6" i="4"/>
  <c r="D55" i="1" l="1"/>
  <c r="D54" i="1"/>
  <c r="G19" i="4"/>
  <c r="I6" i="4"/>
  <c r="I8" i="4" s="1"/>
  <c r="I19" i="4" l="1"/>
  <c r="D28" i="1"/>
  <c r="D62" i="1" s="1"/>
</calcChain>
</file>

<file path=xl/sharedStrings.xml><?xml version="1.0" encoding="utf-8"?>
<sst xmlns="http://schemas.openxmlformats.org/spreadsheetml/2006/main" count="341" uniqueCount="242">
  <si>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</si>
  <si>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</si>
  <si>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</si>
  <si>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</si>
  <si>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</si>
  <si>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</si>
  <si>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</si>
  <si>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</si>
  <si>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</si>
  <si>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</si>
  <si>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</si>
  <si>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</si>
  <si>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</si>
  <si>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</si>
  <si>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</si>
  <si>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</si>
  <si>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</si>
  <si>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</si>
  <si>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</si>
  <si>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</si>
  <si>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</si>
  <si>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</si>
  <si>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</si>
  <si>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</si>
  <si>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</si>
  <si>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</si>
  <si>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</si>
  <si>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</si>
  <si>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</si>
  <si>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</si>
  <si>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</si>
  <si>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</si>
  <si>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</si>
  <si>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</si>
  <si>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</si>
  <si>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</si>
  <si>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</si>
  <si>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</si>
  <si>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</si>
  <si>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</si>
  <si>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</si>
  <si>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</si>
  <si>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</si>
  <si>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</si>
  <si>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</si>
  <si>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</si>
  <si>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</si>
  <si>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</si>
  <si>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</si>
  <si>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</si>
  <si>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</si>
  <si>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</si>
  <si>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</si>
  <si>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</si>
  <si>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</si>
  <si>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</si>
  <si>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</si>
  <si>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</si>
  <si>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</si>
  <si>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</si>
  <si>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</si>
  <si>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</si>
  <si>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</si>
  <si>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</si>
  <si>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</si>
  <si>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</si>
  <si>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</si>
  <si>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</si>
  <si>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</si>
  <si>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</si>
  <si>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</si>
  <si>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</si>
  <si>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</si>
  <si>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</si>
  <si>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</si>
  <si>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</si>
  <si>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</si>
  <si>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</si>
  <si>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</si>
  <si>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</si>
  <si>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</si>
  <si>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</si>
  <si>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</si>
  <si>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</si>
  <si>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</si>
  <si>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</si>
  <si>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</si>
  <si>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</si>
  <si>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</si>
  <si>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</si>
  <si>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</si>
  <si>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</si>
  <si>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</si>
  <si>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</si>
  <si>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</si>
  <si>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</si>
  <si>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</si>
  <si>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</si>
  <si>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</si>
  <si>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</si>
  <si>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</si>
  <si>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</si>
  <si>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</si>
  <si>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</si>
  <si>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</si>
  <si>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</si>
  <si>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</si>
  <si>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</si>
  <si>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</si>
  <si>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</si>
  <si>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</si>
  <si>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</si>
  <si>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</si>
  <si>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</si>
  <si>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</si>
  <si>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</si>
  <si>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</si>
  <si>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</si>
  <si>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</si>
  <si>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</si>
  <si>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</si>
  <si>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</si>
  <si>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</si>
  <si>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</si>
  <si>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</si>
  <si>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</si>
  <si>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</si>
  <si>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</si>
  <si>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</si>
  <si>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</si>
  <si>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</si>
  <si>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</si>
  <si>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</si>
  <si>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</si>
  <si>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</si>
  <si>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</si>
  <si>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</si>
  <si>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</si>
  <si>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</si>
  <si>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</si>
  <si>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</si>
  <si>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</si>
  <si>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</si>
  <si>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</si>
  <si>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</si>
  <si>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</si>
  <si>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</si>
  <si>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</si>
  <si>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</si>
  <si>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</si>
  <si>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</si>
  <si>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</si>
  <si>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</si>
  <si>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</si>
  <si>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</si>
  <si>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</si>
  <si>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</si>
  <si>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</si>
  <si>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</si>
  <si>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</si>
  <si>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</si>
  <si>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</si>
  <si>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</si>
  <si>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</si>
  <si>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</si>
  <si>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</si>
  <si>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</si>
  <si>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</si>
  <si>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</si>
  <si>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</si>
  <si>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</si>
  <si>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</si>
  <si>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</si>
  <si>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</si>
  <si>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</si>
  <si>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</si>
  <si>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</si>
  <si>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</si>
  <si>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</si>
  <si>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</si>
  <si>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</si>
  <si>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</si>
  <si>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</si>
  <si>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</si>
  <si>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</si>
  <si>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</si>
  <si>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</si>
  <si>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</si>
  <si>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</si>
  <si>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</si>
  <si>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</si>
  <si>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</si>
  <si>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</si>
  <si>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</si>
  <si>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</si>
  <si>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</si>
  <si>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</si>
  <si>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</si>
  <si>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</si>
  <si>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</si>
  <si>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</si>
  <si>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</si>
  <si>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</si>
  <si>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</si>
  <si>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</si>
  <si>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</si>
  <si>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</si>
  <si>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</si>
  <si>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</si>
  <si>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</si>
  <si>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</si>
  <si>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</si>
  <si>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</si>
  <si>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</si>
  <si>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</si>
  <si>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</si>
  <si>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</si>
  <si>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</si>
  <si>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</si>
  <si>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</si>
  <si>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</si>
  <si>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</si>
  <si>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</si>
  <si>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</si>
  <si>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</si>
  <si>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 xml:space="preserve">            выплата дивидендов (выкуп облигаций)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</si>
  <si>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</si>
  <si>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</si>
  <si>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</si>
  <si>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</si>
  <si>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</si>
  <si>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>Сальдо на 1 января 2019 года</t>
  </si>
  <si>
    <t>Прибыль/убыток за 2019 год</t>
  </si>
  <si>
    <t>Сальдо на 01.01.2020 года (стр. 160 - стр. 170 + стр. 180 - стр.190)</t>
  </si>
  <si>
    <t>Сальдо на 01 января 2020 года</t>
  </si>
  <si>
    <t xml:space="preserve">                                                                                  по состоянию на 30 сентября 2020 года</t>
  </si>
  <si>
    <t xml:space="preserve"> за период, заканчивающийся  30 сентября 2020 года</t>
  </si>
  <si>
    <t xml:space="preserve">                                                                        за период,заканчивающийся 30 сентября 2020 года</t>
  </si>
  <si>
    <t>за период, заканчивающийся на 30 сентября 2020 года</t>
  </si>
  <si>
    <t>Акишев Ж.Н.</t>
  </si>
  <si>
    <t>Прибыль/убыток за отчетный период -    9 месяцев 2020г.</t>
  </si>
  <si>
    <t>Сальдо на 30.09.2020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</si>
</sst>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H62"/>
  <sheetViews>
    <sheetView tabSelected="1" zoomScale="110" zoomScaleNormal="110" zoomScaleSheetLayoutView="110" workbookViewId="0">
      <selection activeCell="D53" sqref="D53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2" t="s">
        <v>227</v>
      </c>
      <c r="B3" s="102"/>
      <c r="C3" s="102"/>
      <c r="D3" s="102"/>
      <c r="E3" s="102"/>
    </row>
    <row r="4" spans="1:5" x14ac:dyDescent="0.25">
      <c r="A4" s="30" t="s">
        <v>235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10</v>
      </c>
      <c r="C8" s="41" t="s">
        <v>7</v>
      </c>
      <c r="D8" s="82">
        <v>1852508</v>
      </c>
      <c r="E8" s="82">
        <v>1973818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12</v>
      </c>
      <c r="C10" s="41" t="s">
        <v>11</v>
      </c>
      <c r="D10" s="82">
        <f>97553+1511</f>
        <v>99064</v>
      </c>
      <c r="E10" s="82">
        <f>455302+2698</f>
        <v>458000</v>
      </c>
    </row>
    <row r="11" spans="1:5" x14ac:dyDescent="0.25">
      <c r="A11" s="39" t="s">
        <v>12</v>
      </c>
      <c r="B11" s="40">
        <v>13</v>
      </c>
      <c r="C11" s="41" t="s">
        <v>13</v>
      </c>
      <c r="D11" s="82">
        <f>62298</f>
        <v>62298</v>
      </c>
      <c r="E11" s="82">
        <v>62926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16</v>
      </c>
      <c r="C14" s="41" t="s">
        <v>19</v>
      </c>
      <c r="D14" s="85">
        <f>25959+1614</f>
        <v>27573</v>
      </c>
      <c r="E14" s="82">
        <f>546+51092</f>
        <v>51638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2041443</v>
      </c>
      <c r="E15" s="44">
        <f>SUM(E8:E14)</f>
        <v>2546382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/>
      <c r="C18" s="41" t="s">
        <v>26</v>
      </c>
      <c r="D18" s="82"/>
      <c r="E18" s="42"/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24</v>
      </c>
      <c r="C21" s="41" t="s">
        <v>32</v>
      </c>
      <c r="D21" s="82">
        <v>501765</v>
      </c>
      <c r="E21" s="82">
        <v>457788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27</v>
      </c>
      <c r="C24" s="41" t="s">
        <v>38</v>
      </c>
      <c r="D24" s="82">
        <v>7834148</v>
      </c>
      <c r="E24" s="82">
        <v>8546867</v>
      </c>
      <c r="F24" s="45">
        <f>9558273</f>
        <v>9558273</v>
      </c>
      <c r="G24" s="97">
        <f>E24</f>
        <v>8546867</v>
      </c>
      <c r="H24" s="29" t="s">
        <v>223</v>
      </c>
    </row>
    <row r="25" spans="1:8" x14ac:dyDescent="0.25">
      <c r="A25" s="39" t="s">
        <v>39</v>
      </c>
      <c r="B25" s="40"/>
      <c r="C25" s="41" t="s">
        <v>40</v>
      </c>
      <c r="D25" s="83"/>
      <c r="E25" s="83"/>
      <c r="F25" s="45">
        <f>10445114</f>
        <v>10445114</v>
      </c>
      <c r="G25" s="47">
        <f>D24</f>
        <v>7834148</v>
      </c>
      <c r="H25" s="29" t="s">
        <v>224</v>
      </c>
    </row>
    <row r="26" spans="1:8" x14ac:dyDescent="0.25">
      <c r="A26" s="39" t="s">
        <v>41</v>
      </c>
      <c r="B26" s="40"/>
      <c r="C26" s="41" t="s">
        <v>42</v>
      </c>
      <c r="D26" s="82"/>
      <c r="E26" s="82"/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8335913</v>
      </c>
      <c r="E27" s="84">
        <f>SUM(E17:E26)</f>
        <v>9004655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10377356</v>
      </c>
      <c r="E28" s="84">
        <f>E15+E27</f>
        <v>11551037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31</v>
      </c>
      <c r="C31" s="41" t="s">
        <v>50</v>
      </c>
      <c r="D31" s="83">
        <f>891333+203674</f>
        <v>1095007</v>
      </c>
      <c r="E31" s="83">
        <f>2891333+432220</f>
        <v>3323553</v>
      </c>
    </row>
    <row r="32" spans="1:8" x14ac:dyDescent="0.25">
      <c r="A32" s="39" t="s">
        <v>51</v>
      </c>
      <c r="B32" s="40">
        <v>32</v>
      </c>
      <c r="C32" s="41" t="s">
        <v>52</v>
      </c>
      <c r="D32" s="83">
        <f>436646+9109+147366+2562+1</f>
        <v>595684</v>
      </c>
      <c r="E32" s="83">
        <f>140804+7724+455324</f>
        <v>603852</v>
      </c>
      <c r="F32" s="47"/>
    </row>
    <row r="33" spans="1:6" ht="30" x14ac:dyDescent="0.25">
      <c r="A33" s="48" t="s">
        <v>53</v>
      </c>
      <c r="B33" s="49">
        <v>33</v>
      </c>
      <c r="C33" s="41" t="s">
        <v>54</v>
      </c>
      <c r="D33" s="82">
        <f>262+675+5137</f>
        <v>6074</v>
      </c>
      <c r="E33" s="82">
        <v>4443</v>
      </c>
    </row>
    <row r="34" spans="1:6" x14ac:dyDescent="0.25">
      <c r="A34" s="39" t="s">
        <v>55</v>
      </c>
      <c r="B34" s="40">
        <v>34</v>
      </c>
      <c r="C34" s="41" t="s">
        <v>56</v>
      </c>
      <c r="D34" s="82">
        <f>149700+4593+16738+1781</f>
        <v>172812</v>
      </c>
      <c r="E34" s="82">
        <f>110676+1796+16337</f>
        <v>128809</v>
      </c>
    </row>
    <row r="35" spans="1:6" x14ac:dyDescent="0.25">
      <c r="A35" s="39" t="s">
        <v>57</v>
      </c>
      <c r="B35" s="40">
        <v>35</v>
      </c>
      <c r="C35" s="41" t="s">
        <v>58</v>
      </c>
      <c r="D35" s="82">
        <f>21152+18038</f>
        <v>39190</v>
      </c>
      <c r="E35" s="82">
        <f>147607+38947</f>
        <v>186554</v>
      </c>
    </row>
    <row r="36" spans="1:6" x14ac:dyDescent="0.25">
      <c r="A36" s="39" t="s">
        <v>59</v>
      </c>
      <c r="B36" s="40">
        <v>36</v>
      </c>
      <c r="C36" s="41" t="s">
        <v>60</v>
      </c>
      <c r="D36" s="82">
        <f>157775+176</f>
        <v>157951</v>
      </c>
      <c r="E36" s="82">
        <f>153194-148528-4443</f>
        <v>223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2066718</v>
      </c>
      <c r="E37" s="84">
        <f>SUM(E31:E36)</f>
        <v>4247434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40</v>
      </c>
      <c r="C39" s="41" t="s">
        <v>64</v>
      </c>
      <c r="D39" s="82">
        <v>6452195</v>
      </c>
      <c r="E39" s="82">
        <v>6534186</v>
      </c>
    </row>
    <row r="40" spans="1:6" x14ac:dyDescent="0.25">
      <c r="A40" s="39" t="s">
        <v>66</v>
      </c>
      <c r="B40" s="40">
        <v>42</v>
      </c>
      <c r="C40" s="41" t="s">
        <v>67</v>
      </c>
      <c r="D40" s="82">
        <v>15002360</v>
      </c>
      <c r="E40" s="82">
        <v>14788464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/>
      <c r="E43" s="42"/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21454555</v>
      </c>
      <c r="E45" s="44">
        <f>SUM(E39:E44)</f>
        <v>21322650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50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>
        <v>53</v>
      </c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f>Капитал!E19</f>
        <v>-32091397</v>
      </c>
      <c r="E51" s="42">
        <v>-32966527</v>
      </c>
      <c r="F51" s="46"/>
      <c r="G51" s="47"/>
    </row>
    <row r="52" spans="1:7" x14ac:dyDescent="0.25">
      <c r="A52" s="39" t="s">
        <v>89</v>
      </c>
      <c r="B52" s="40"/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-13143917</v>
      </c>
      <c r="E53" s="44">
        <f>SUM(E47:E52)</f>
        <v>-14019047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10377356</v>
      </c>
      <c r="E54" s="44">
        <f>E37+E45+E53</f>
        <v>11551037</v>
      </c>
      <c r="F54" s="50"/>
    </row>
    <row r="55" spans="1:7" s="30" customFormat="1" x14ac:dyDescent="0.25">
      <c r="A55" s="36" t="s">
        <v>94</v>
      </c>
      <c r="B55" s="40"/>
      <c r="C55" s="37"/>
      <c r="D55" s="91">
        <f>(D53-G25)/11861*1000</f>
        <v>-1768659.0506702638</v>
      </c>
      <c r="E55" s="92">
        <f>(E53-G24)/11861*1000</f>
        <v>-1902530.4780372651</v>
      </c>
    </row>
    <row r="56" spans="1:7" x14ac:dyDescent="0.25">
      <c r="A56" s="51" t="s">
        <v>95</v>
      </c>
      <c r="B56" s="52"/>
      <c r="C56" s="53"/>
      <c r="D56" s="96"/>
      <c r="E56" s="101"/>
    </row>
    <row r="57" spans="1:7" x14ac:dyDescent="0.25">
      <c r="A57" s="52"/>
      <c r="B57" s="52"/>
      <c r="C57" s="53"/>
      <c r="D57" s="101"/>
      <c r="E57" s="101"/>
    </row>
    <row r="58" spans="1:7" s="30" customFormat="1" ht="16.5" customHeight="1" x14ac:dyDescent="0.2">
      <c r="A58" s="54" t="s">
        <v>219</v>
      </c>
      <c r="B58" s="54"/>
      <c r="C58" s="55"/>
      <c r="D58" s="30" t="s">
        <v>239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214</v>
      </c>
      <c r="C60" s="55"/>
      <c r="D60" s="30" t="s">
        <v>221</v>
      </c>
    </row>
    <row r="61" spans="1:7" x14ac:dyDescent="0.25">
      <c r="A61" s="54" t="s">
        <v>96</v>
      </c>
      <c r="B61" s="54"/>
    </row>
    <row r="62" spans="1:7" x14ac:dyDescent="0.25">
      <c r="D62" s="29" t="b">
        <f>D54=D28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33"/>
  <sheetViews>
    <sheetView showWhiteSpace="0" view="pageBreakPreview" zoomScale="110" zoomScaleSheetLayoutView="110" workbookViewId="0">
      <selection activeCell="E21" sqref="E21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5" t="s">
        <v>228</v>
      </c>
      <c r="B1" s="105"/>
      <c r="C1" s="106"/>
      <c r="D1" s="106"/>
      <c r="E1" s="106"/>
    </row>
    <row r="2" spans="1:5" x14ac:dyDescent="0.25">
      <c r="A2" s="105" t="s">
        <v>236</v>
      </c>
      <c r="B2" s="105"/>
      <c r="C2" s="106"/>
      <c r="D2" s="106"/>
      <c r="E2" s="106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5192425</v>
      </c>
      <c r="E6" s="7">
        <v>5355794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-2253489</v>
      </c>
      <c r="E7" s="7">
        <v>-2331892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2938936</v>
      </c>
      <c r="E8" s="9">
        <f>SUM(E6:E7)</f>
        <v>3023902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141780</v>
      </c>
      <c r="E9" s="7">
        <v>113907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14610</v>
      </c>
      <c r="E10" s="7">
        <v>5592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-399548</v>
      </c>
      <c r="E12" s="7">
        <v>-416308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-1292534</v>
      </c>
      <c r="E13" s="7">
        <v>-1508079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-9865</v>
      </c>
      <c r="E14" s="7">
        <v>10187</v>
      </c>
    </row>
    <row r="15" spans="1:5" ht="15.75" thickBot="1" x14ac:dyDescent="0.3">
      <c r="A15" s="103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4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1393379</v>
      </c>
      <c r="E17" s="9">
        <f>SUM(E8:E14)</f>
        <v>1229201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1393379</v>
      </c>
      <c r="E19" s="9">
        <f>E17-E18</f>
        <v>1229201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518249</v>
      </c>
      <c r="E20" s="7">
        <v>286730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D19-D20</f>
        <v>875130</v>
      </c>
      <c r="E21" s="9">
        <f>E19-E20</f>
        <v>942471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129</v>
      </c>
      <c r="B23" s="27"/>
      <c r="C23" s="15" t="s">
        <v>128</v>
      </c>
      <c r="D23" s="9">
        <f>D21+D22</f>
        <v>875130</v>
      </c>
      <c r="E23" s="9">
        <f>E21+E22</f>
        <v>942471</v>
      </c>
    </row>
    <row r="24" spans="1:5" ht="26.25" thickBot="1" x14ac:dyDescent="0.3">
      <c r="A24" s="6" t="s">
        <v>130</v>
      </c>
      <c r="B24" s="26">
        <v>25</v>
      </c>
      <c r="C24" s="14" t="s">
        <v>131</v>
      </c>
      <c r="D24" s="93">
        <f>D23/11861*1000</f>
        <v>73782.143158249717</v>
      </c>
      <c r="E24" s="94">
        <f>E23/11861*1000</f>
        <v>79459.657701711491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220</v>
      </c>
      <c r="B27" s="12"/>
      <c r="C27" s="17"/>
      <c r="D27" s="30" t="s">
        <v>239</v>
      </c>
      <c r="E27" s="17"/>
    </row>
    <row r="28" spans="1:5" s="58" customFormat="1" ht="14.25" x14ac:dyDescent="0.2">
      <c r="A28" s="16" t="s">
        <v>132</v>
      </c>
      <c r="B28" s="16"/>
      <c r="C28" s="17"/>
      <c r="D28" s="17"/>
      <c r="E28" s="17"/>
    </row>
    <row r="29" spans="1:5" s="58" customFormat="1" ht="14.25" x14ac:dyDescent="0.2">
      <c r="A29" s="12" t="s">
        <v>215</v>
      </c>
      <c r="B29" s="12"/>
      <c r="C29" s="17"/>
      <c r="D29" s="17" t="s">
        <v>221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3:E67"/>
  <sheetViews>
    <sheetView view="pageBreakPreview" topLeftCell="A28" zoomScaleSheetLayoutView="100" workbookViewId="0">
      <selection activeCell="C14" sqref="C14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3" t="s">
        <v>229</v>
      </c>
      <c r="B3" s="114"/>
      <c r="C3" s="114"/>
      <c r="D3" s="114"/>
    </row>
    <row r="4" spans="1:4" x14ac:dyDescent="0.25">
      <c r="A4" s="115" t="s">
        <v>237</v>
      </c>
      <c r="B4" s="116"/>
      <c r="C4" s="116"/>
      <c r="D4" s="116"/>
    </row>
    <row r="5" spans="1:4" x14ac:dyDescent="0.25">
      <c r="D5" s="62" t="s">
        <v>0</v>
      </c>
    </row>
    <row r="6" spans="1:4" s="58" customFormat="1" ht="30" customHeight="1" x14ac:dyDescent="0.2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7" t="s">
        <v>134</v>
      </c>
      <c r="B7" s="108"/>
      <c r="C7" s="108"/>
      <c r="D7" s="109"/>
    </row>
    <row r="8" spans="1:4" s="58" customFormat="1" ht="14.25" x14ac:dyDescent="0.2">
      <c r="A8" s="66" t="s">
        <v>135</v>
      </c>
      <c r="B8" s="67" t="s">
        <v>7</v>
      </c>
      <c r="C8" s="68">
        <f>SUM(C10:C14)</f>
        <v>6434296</v>
      </c>
      <c r="D8" s="68">
        <f>SUM(D10:D14)</f>
        <v>6573027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620263</v>
      </c>
      <c r="D11" s="71">
        <v>2329278</v>
      </c>
    </row>
    <row r="12" spans="1:4" x14ac:dyDescent="0.25">
      <c r="A12" s="69" t="s">
        <v>139</v>
      </c>
      <c r="B12" s="70" t="s">
        <v>13</v>
      </c>
      <c r="C12" s="42">
        <v>5694740</v>
      </c>
      <c r="D12" s="71">
        <v>4142316</v>
      </c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f>112914+6379</f>
        <v>119293</v>
      </c>
      <c r="D14" s="71">
        <f>84238+17195</f>
        <v>101433</v>
      </c>
    </row>
    <row r="15" spans="1:4" s="58" customFormat="1" ht="14.25" x14ac:dyDescent="0.2">
      <c r="A15" s="66" t="s">
        <v>142</v>
      </c>
      <c r="B15" s="67" t="s">
        <v>24</v>
      </c>
      <c r="C15" s="44">
        <f>SUM(C16:C23)</f>
        <v>3093914</v>
      </c>
      <c r="D15" s="44">
        <f>SUM(D17:D23)</f>
        <v>2812945</v>
      </c>
    </row>
    <row r="16" spans="1:4" s="58" customFormat="1" ht="14.25" x14ac:dyDescent="0.2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1173879</v>
      </c>
      <c r="D17" s="71">
        <v>1065367</v>
      </c>
    </row>
    <row r="18" spans="1:5" x14ac:dyDescent="0.25">
      <c r="A18" s="69" t="s">
        <v>144</v>
      </c>
      <c r="B18" s="70" t="s">
        <v>28</v>
      </c>
      <c r="C18" s="42">
        <v>556256</v>
      </c>
      <c r="D18" s="71">
        <v>627707</v>
      </c>
    </row>
    <row r="19" spans="1:5" x14ac:dyDescent="0.25">
      <c r="A19" s="69" t="s">
        <v>145</v>
      </c>
      <c r="B19" s="70" t="s">
        <v>30</v>
      </c>
      <c r="C19" s="42">
        <v>195993</v>
      </c>
      <c r="D19" s="71">
        <v>235296</v>
      </c>
    </row>
    <row r="20" spans="1:5" x14ac:dyDescent="0.25">
      <c r="A20" s="69" t="s">
        <v>146</v>
      </c>
      <c r="B20" s="70" t="s">
        <v>32</v>
      </c>
      <c r="C20" s="42">
        <v>22646</v>
      </c>
      <c r="D20" s="71">
        <v>24509</v>
      </c>
    </row>
    <row r="21" spans="1:5" x14ac:dyDescent="0.25">
      <c r="A21" s="69" t="s">
        <v>147</v>
      </c>
      <c r="B21" s="70" t="s">
        <v>34</v>
      </c>
      <c r="C21" s="42">
        <v>521476</v>
      </c>
      <c r="D21" s="71">
        <v>167650</v>
      </c>
    </row>
    <row r="22" spans="1:5" x14ac:dyDescent="0.25">
      <c r="A22" s="69" t="s">
        <v>148</v>
      </c>
      <c r="B22" s="70" t="s">
        <v>36</v>
      </c>
      <c r="C22" s="42">
        <f>1085498-C21</f>
        <v>564022</v>
      </c>
      <c r="D22" s="71">
        <f>790648-D21</f>
        <v>622998</v>
      </c>
    </row>
    <row r="23" spans="1:5" x14ac:dyDescent="0.25">
      <c r="A23" s="69" t="s">
        <v>149</v>
      </c>
      <c r="B23" s="70" t="s">
        <v>38</v>
      </c>
      <c r="C23" s="42">
        <v>59642</v>
      </c>
      <c r="D23" s="71">
        <v>69418</v>
      </c>
    </row>
    <row r="24" spans="1:5" s="58" customFormat="1" ht="25.5" x14ac:dyDescent="0.2">
      <c r="A24" s="72" t="s">
        <v>150</v>
      </c>
      <c r="B24" s="67" t="s">
        <v>48</v>
      </c>
      <c r="C24" s="44">
        <f>C8-C15</f>
        <v>3340382</v>
      </c>
      <c r="D24" s="68">
        <f>D8-D15</f>
        <v>3760082</v>
      </c>
      <c r="E24" s="80"/>
    </row>
    <row r="25" spans="1:5" x14ac:dyDescent="0.25">
      <c r="A25" s="107" t="s">
        <v>151</v>
      </c>
      <c r="B25" s="108"/>
      <c r="C25" s="108"/>
      <c r="D25" s="109"/>
    </row>
    <row r="26" spans="1:5" s="58" customFormat="1" ht="14.25" x14ac:dyDescent="0.2">
      <c r="A26" s="66" t="s">
        <v>135</v>
      </c>
      <c r="B26" s="67" t="s">
        <v>64</v>
      </c>
      <c r="C26" s="68">
        <f>SUM(C28:C34)</f>
        <v>24900</v>
      </c>
      <c r="D26" s="68">
        <f>SUM(D28:D34)</f>
        <v>26179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>
        <v>24900</v>
      </c>
      <c r="D28" s="71">
        <v>26179</v>
      </c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/>
      <c r="D34" s="71"/>
    </row>
    <row r="35" spans="1:4" s="58" customFormat="1" ht="14.25" x14ac:dyDescent="0.2">
      <c r="A35" s="66" t="s">
        <v>142</v>
      </c>
      <c r="B35" s="67" t="s">
        <v>80</v>
      </c>
      <c r="C35" s="68">
        <f>SUM(C37:C43)</f>
        <v>0</v>
      </c>
      <c r="D35" s="68">
        <f>SUM(D37:D43)</f>
        <v>18046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/>
      <c r="D37" s="71">
        <v>18046</v>
      </c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222</v>
      </c>
      <c r="B43" s="70" t="s">
        <v>167</v>
      </c>
      <c r="C43" s="71"/>
      <c r="D43" s="71"/>
    </row>
    <row r="44" spans="1:4" s="58" customFormat="1" ht="25.5" x14ac:dyDescent="0.2">
      <c r="A44" s="72" t="s">
        <v>168</v>
      </c>
      <c r="B44" s="67" t="s">
        <v>112</v>
      </c>
      <c r="C44" s="68">
        <f>C26-C35</f>
        <v>24900</v>
      </c>
      <c r="D44" s="68">
        <f>D26-D35</f>
        <v>8133</v>
      </c>
    </row>
    <row r="45" spans="1:4" s="58" customFormat="1" ht="14.25" x14ac:dyDescent="0.2">
      <c r="A45" s="110" t="s">
        <v>169</v>
      </c>
      <c r="B45" s="111"/>
      <c r="C45" s="111"/>
      <c r="D45" s="112"/>
    </row>
    <row r="46" spans="1:4" s="58" customFormat="1" ht="14.25" x14ac:dyDescent="0.2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/>
      <c r="D51" s="71"/>
    </row>
    <row r="52" spans="1:4" s="58" customFormat="1" ht="14.25" x14ac:dyDescent="0.2">
      <c r="A52" s="66" t="s">
        <v>177</v>
      </c>
      <c r="B52" s="67" t="s">
        <v>115</v>
      </c>
      <c r="C52" s="68">
        <f>SUM(C54:C57)</f>
        <v>3486605</v>
      </c>
      <c r="D52" s="68">
        <f>SUM(D54:D57)</f>
        <v>2697699</v>
      </c>
    </row>
    <row r="53" spans="1:4" s="58" customFormat="1" ht="14.25" x14ac:dyDescent="0.2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>
        <v>440000</v>
      </c>
      <c r="D54" s="71">
        <v>440000</v>
      </c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225</v>
      </c>
      <c r="B56" s="70" t="s">
        <v>182</v>
      </c>
      <c r="C56" s="71">
        <v>2015540</v>
      </c>
      <c r="D56" s="71">
        <v>1000000</v>
      </c>
    </row>
    <row r="57" spans="1:4" x14ac:dyDescent="0.25">
      <c r="A57" s="69" t="s">
        <v>149</v>
      </c>
      <c r="B57" s="70" t="s">
        <v>183</v>
      </c>
      <c r="C57" s="71">
        <v>1031065</v>
      </c>
      <c r="D57" s="71">
        <v>1257699</v>
      </c>
    </row>
    <row r="58" spans="1:4" s="58" customFormat="1" ht="25.5" x14ac:dyDescent="0.2">
      <c r="A58" s="72" t="s">
        <v>184</v>
      </c>
      <c r="B58" s="67" t="s">
        <v>116</v>
      </c>
      <c r="C58" s="68">
        <f>C46-C52</f>
        <v>-3486605</v>
      </c>
      <c r="D58" s="68">
        <f>D46-D52</f>
        <v>-2697699</v>
      </c>
    </row>
    <row r="59" spans="1:4" s="58" customFormat="1" ht="14.25" x14ac:dyDescent="0.2">
      <c r="A59" s="72" t="s">
        <v>226</v>
      </c>
      <c r="B59" s="67"/>
      <c r="C59" s="68">
        <v>13</v>
      </c>
      <c r="D59" s="68">
        <v>-288</v>
      </c>
    </row>
    <row r="60" spans="1:4" s="58" customFormat="1" ht="26.25" thickBot="1" x14ac:dyDescent="0.25">
      <c r="A60" s="18" t="s">
        <v>185</v>
      </c>
      <c r="B60" s="75"/>
      <c r="C60" s="68">
        <f>C24+C44+C58+C59</f>
        <v>-121310</v>
      </c>
      <c r="D60" s="68">
        <f>D24+D44+D58+D59</f>
        <v>1070228</v>
      </c>
    </row>
    <row r="61" spans="1:4" s="58" customFormat="1" thickBot="1" x14ac:dyDescent="0.25">
      <c r="A61" s="19" t="s">
        <v>186</v>
      </c>
      <c r="B61" s="76"/>
      <c r="C61" s="9">
        <v>1973818</v>
      </c>
      <c r="D61" s="9">
        <v>1028115</v>
      </c>
    </row>
    <row r="62" spans="1:4" ht="15.75" thickBot="1" x14ac:dyDescent="0.3">
      <c r="A62" s="8" t="s">
        <v>187</v>
      </c>
      <c r="B62" s="77"/>
      <c r="C62" s="9">
        <f>C60+C61</f>
        <v>1852508</v>
      </c>
      <c r="D62" s="9">
        <f>D60+D61</f>
        <v>2098343</v>
      </c>
    </row>
    <row r="63" spans="1:4" x14ac:dyDescent="0.25">
      <c r="A63" s="78"/>
      <c r="B63" s="79"/>
      <c r="C63" s="78"/>
      <c r="D63" s="78"/>
    </row>
    <row r="64" spans="1:4" s="58" customFormat="1" ht="16.5" customHeight="1" x14ac:dyDescent="0.2">
      <c r="A64" s="54" t="s">
        <v>218</v>
      </c>
      <c r="B64" s="59"/>
      <c r="C64" s="30" t="s">
        <v>239</v>
      </c>
    </row>
    <row r="65" spans="1:3" s="58" customFormat="1" ht="14.25" x14ac:dyDescent="0.2">
      <c r="A65" s="60" t="s">
        <v>96</v>
      </c>
      <c r="B65" s="59"/>
    </row>
    <row r="66" spans="1:3" s="58" customFormat="1" ht="14.25" x14ac:dyDescent="0.2">
      <c r="A66" s="58" t="s">
        <v>214</v>
      </c>
      <c r="B66" s="59"/>
      <c r="C66" s="58" t="s">
        <v>221</v>
      </c>
    </row>
    <row r="67" spans="1:3" x14ac:dyDescent="0.25">
      <c r="A67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40"/>
  <sheetViews>
    <sheetView showZeros="0" zoomScale="120" zoomScaleNormal="120" zoomScaleSheetLayoutView="110" workbookViewId="0">
      <selection activeCell="A19" sqref="A19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5" t="s">
        <v>230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 x14ac:dyDescent="0.2">
      <c r="A2" s="105" t="s">
        <v>238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7" t="s">
        <v>188</v>
      </c>
      <c r="B4" s="119" t="s">
        <v>99</v>
      </c>
      <c r="C4" s="121" t="s">
        <v>189</v>
      </c>
      <c r="D4" s="122"/>
      <c r="E4" s="122"/>
      <c r="F4" s="122"/>
      <c r="G4" s="123"/>
      <c r="H4" s="119" t="s">
        <v>194</v>
      </c>
      <c r="I4" s="119" t="s">
        <v>91</v>
      </c>
    </row>
    <row r="5" spans="1:9" s="11" customFormat="1" ht="26.25" thickBot="1" x14ac:dyDescent="0.25">
      <c r="A5" s="118"/>
      <c r="B5" s="120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0"/>
      <c r="I5" s="120"/>
    </row>
    <row r="6" spans="1:9" s="17" customFormat="1" ht="13.5" thickBot="1" x14ac:dyDescent="0.25">
      <c r="A6" s="86" t="s">
        <v>234</v>
      </c>
      <c r="B6" s="87" t="s">
        <v>7</v>
      </c>
      <c r="C6" s="81">
        <v>11861000</v>
      </c>
      <c r="D6" s="81">
        <v>0</v>
      </c>
      <c r="E6" s="81">
        <v>-32966527</v>
      </c>
      <c r="F6" s="81">
        <v>7086480</v>
      </c>
      <c r="G6" s="81">
        <f>SUM(C6:F6)</f>
        <v>-14019047</v>
      </c>
      <c r="H6" s="81"/>
      <c r="I6" s="81">
        <f>SUM(G6:H6)</f>
        <v>-14019047</v>
      </c>
    </row>
    <row r="7" spans="1:9" s="11" customFormat="1" ht="13.5" thickBot="1" x14ac:dyDescent="0.25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-32966527</v>
      </c>
      <c r="F8" s="90">
        <f t="shared" si="2"/>
        <v>7086480</v>
      </c>
      <c r="G8" s="81">
        <f t="shared" si="0"/>
        <v>-14019047</v>
      </c>
      <c r="H8" s="90">
        <f t="shared" si="2"/>
        <v>0</v>
      </c>
      <c r="I8" s="90">
        <f t="shared" si="2"/>
        <v>-14019047</v>
      </c>
    </row>
    <row r="9" spans="1:9" s="11" customFormat="1" ht="13.5" hidden="1" thickBot="1" x14ac:dyDescent="0.25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6.25" thickBot="1" x14ac:dyDescent="0.25">
      <c r="A13" s="88" t="s">
        <v>240</v>
      </c>
      <c r="B13" s="89" t="s">
        <v>80</v>
      </c>
      <c r="C13" s="90"/>
      <c r="D13" s="90"/>
      <c r="E13" s="90">
        <f>ОСД!D23</f>
        <v>875130</v>
      </c>
      <c r="F13" s="90"/>
      <c r="G13" s="81">
        <f t="shared" si="0"/>
        <v>875130</v>
      </c>
      <c r="H13" s="90"/>
      <c r="I13" s="81">
        <f t="shared" si="3"/>
        <v>875130</v>
      </c>
    </row>
    <row r="14" spans="1:9" s="17" customFormat="1" ht="26.25" customHeight="1" thickBot="1" x14ac:dyDescent="0.25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875130</v>
      </c>
      <c r="F14" s="81">
        <f t="shared" si="4"/>
        <v>0</v>
      </c>
      <c r="G14" s="81">
        <f t="shared" si="0"/>
        <v>875130</v>
      </c>
      <c r="H14" s="81">
        <f t="shared" si="4"/>
        <v>0</v>
      </c>
      <c r="I14" s="81">
        <f t="shared" si="3"/>
        <v>875130</v>
      </c>
    </row>
    <row r="15" spans="1:9" s="11" customFormat="1" ht="13.5" hidden="1" thickBot="1" x14ac:dyDescent="0.25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241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-32091397</v>
      </c>
      <c r="F19" s="81">
        <f>F14-F15+F17-F18+F8+F16</f>
        <v>7086480</v>
      </c>
      <c r="G19" s="81">
        <f t="shared" si="0"/>
        <v>-13143917</v>
      </c>
      <c r="H19" s="81">
        <f t="shared" si="5"/>
        <v>0</v>
      </c>
      <c r="I19" s="81">
        <f t="shared" si="3"/>
        <v>-13143917</v>
      </c>
    </row>
    <row r="20" spans="1:9" s="17" customFormat="1" ht="13.5" thickBot="1" x14ac:dyDescent="0.25">
      <c r="A20" s="86" t="s">
        <v>231</v>
      </c>
      <c r="B20" s="87" t="s">
        <v>119</v>
      </c>
      <c r="C20" s="81">
        <v>11861000</v>
      </c>
      <c r="D20" s="81"/>
      <c r="E20" s="81">
        <v>-33446485</v>
      </c>
      <c r="F20" s="81">
        <v>7086480</v>
      </c>
      <c r="G20" s="81">
        <f>SUM(C20:F20)</f>
        <v>-14499005</v>
      </c>
      <c r="H20" s="81"/>
      <c r="I20" s="81">
        <f t="shared" si="3"/>
        <v>-14499005</v>
      </c>
    </row>
    <row r="21" spans="1:9" s="11" customFormat="1" ht="13.5" thickBot="1" x14ac:dyDescent="0.25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-33446485</v>
      </c>
      <c r="F22" s="90">
        <f t="shared" si="7"/>
        <v>7086480</v>
      </c>
      <c r="G22" s="90">
        <f t="shared" si="7"/>
        <v>-14499005</v>
      </c>
      <c r="H22" s="90">
        <f t="shared" si="7"/>
        <v>0</v>
      </c>
      <c r="I22" s="90">
        <f t="shared" si="7"/>
        <v>-14499005</v>
      </c>
    </row>
    <row r="23" spans="1:9" s="11" customFormat="1" ht="26.25" thickBot="1" x14ac:dyDescent="0.25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232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479958</v>
      </c>
      <c r="F27" s="90">
        <f t="shared" si="8"/>
        <v>0</v>
      </c>
      <c r="G27" s="90">
        <f>E27</f>
        <v>479958</v>
      </c>
      <c r="H27" s="90">
        <f t="shared" si="8"/>
        <v>0</v>
      </c>
      <c r="I27" s="90">
        <f t="shared" si="3"/>
        <v>479958</v>
      </c>
    </row>
    <row r="28" spans="1:9" s="11" customFormat="1" ht="26.25" thickBot="1" x14ac:dyDescent="0.25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-32966527</v>
      </c>
      <c r="F28" s="90">
        <f t="shared" si="9"/>
        <v>7086480</v>
      </c>
      <c r="G28" s="90">
        <f>SUM(C28:F28)</f>
        <v>-14019047</v>
      </c>
      <c r="H28" s="90">
        <f t="shared" si="9"/>
        <v>0</v>
      </c>
      <c r="I28" s="90">
        <f t="shared" si="3"/>
        <v>-14019047</v>
      </c>
    </row>
    <row r="29" spans="1:9" s="11" customFormat="1" ht="26.25" hidden="1" thickBot="1" x14ac:dyDescent="0.25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233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-32966527</v>
      </c>
      <c r="F32" s="81">
        <f t="shared" si="10"/>
        <v>7086480</v>
      </c>
      <c r="G32" s="81">
        <f t="shared" si="10"/>
        <v>-14019047</v>
      </c>
      <c r="H32" s="81">
        <f t="shared" si="10"/>
        <v>0</v>
      </c>
      <c r="I32" s="81">
        <f t="shared" si="10"/>
        <v>-14019047</v>
      </c>
    </row>
    <row r="33" spans="1:9" s="11" customFormat="1" ht="12.75" x14ac:dyDescent="0.2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218</v>
      </c>
      <c r="B35" s="59"/>
      <c r="C35" s="58" t="s">
        <v>239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217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214</v>
      </c>
      <c r="B37" s="59"/>
      <c r="C37" s="58" t="s">
        <v>221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217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Владелец</cp:lastModifiedBy>
  <cp:lastPrinted>2020-10-20T05:14:36Z</cp:lastPrinted>
  <dcterms:created xsi:type="dcterms:W3CDTF">2012-05-11T11:57:39Z</dcterms:created>
  <dcterms:modified xsi:type="dcterms:W3CDTF">2020-10-20T05:16:40Z</dcterms:modified>
</cp:coreProperties>
</file>