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2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<sst xmlns="http://schemas.openxmlformats.org/spreadsheetml/2006/main" count="366" uniqueCount="305">
  <si>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</si>
  <si>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</si>
  <si>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Бухгалтерский баланс</t>
  </si>
  <si>
    <t xml:space="preserve">                                                                           АО "БТА Ипотека"</t>
  </si>
  <si>
    <t>(полное наименование организации)</t>
  </si>
  <si>
    <t xml:space="preserve"> по состоянию на "1"  октября 2013 года</t>
  </si>
  <si>
    <t>( в тысячах казахстанских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</si>
  <si>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</si>
  <si>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</si>
  <si>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</si>
  <si>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</si>
  <si>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</si>
  <si>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</si>
  <si>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Аффинированные драгоценные металлы</t>
  </si>
  <si>
    <t>Ценные бумаги, учтенные по справедливой стоимости через прибыль и убыток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</si>
  <si>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</si>
  <si>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</si>
  <si>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</si>
  <si>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</si>
  <si>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</si>
  <si>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в том числе:</t>
  </si>
  <si>
    <t xml:space="preserve">   от пенсионных активов</t>
  </si>
  <si>
    <t xml:space="preserve">   от инвестиционного дохода/убытка по пенсионным активам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</si>
  <si>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</si>
  <si>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</si>
  <si>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</si>
  <si>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</si>
  <si>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</si>
  <si>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</si>
  <si>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</si>
  <si>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</si>
  <si>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</si>
  <si>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</si>
  <si>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</si>
  <si>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</si>
  <si>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Текущий актив по налогу на прибыль</t>
  </si>
  <si>
    <t>Отложенный налоговый актив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</si>
  <si>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</si>
  <si>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</si>
  <si>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</si>
  <si>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</si>
  <si>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</si>
  <si>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</si>
  <si>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Полученные займы</t>
  </si>
  <si>
    <t>Кредиторская задолженность</t>
  </si>
  <si>
    <t>Оценочные резервы</t>
  </si>
  <si>
    <t>Начисленные расходы по расчетам с акционерами по акциям</t>
  </si>
  <si>
    <t>Субординированный долг</t>
  </si>
  <si>
    <t>Текущие обязательства по налогу на прибыль</t>
  </si>
  <si>
    <t>32</t>
  </si>
  <si>
    <t>Отложенное обязательство по налогу на прибыль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</si>
  <si>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</si>
  <si>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</si>
  <si>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</si>
  <si>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</si>
  <si>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</si>
  <si>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</si>
  <si>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</si>
  <si>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</si>
  <si>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</si>
  <si>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</si>
  <si>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</si>
  <si>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</si>
  <si>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</si>
  <si>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</si>
  <si>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</si>
  <si>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>Доля меньшинства</t>
  </si>
  <si>
    <t xml:space="preserve">Итого капитал: </t>
  </si>
  <si>
    <t>Итого капитал и обязательства (стр.35+стр.43):</t>
  </si>
  <si>
    <t xml:space="preserve">                 В графе 2 указываются номера примечаний по статьям, отраженным в пояснительной записке.</t>
  </si>
  <si>
    <t xml:space="preserve">                 Статья «Доля меньшинства» заполняется при составлении консолидированной финансовой отчетности. </t>
  </si>
  <si>
    <t>Первый руководитель _____________________</t>
  </si>
  <si>
    <t>дата __________________</t>
  </si>
  <si>
    <t>Главный бухгалтер      _____________________</t>
  </si>
  <si>
    <t xml:space="preserve">Исполнитель                 ______________________  </t>
  </si>
  <si>
    <t>Телефон        _______________________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</si>
  <si>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</si>
  <si>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</si>
  <si>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Форма № 2</t>
  </si>
  <si>
    <t>Отчет о прибылях и убытках</t>
  </si>
  <si>
    <t xml:space="preserve">                                                                                                      АО " БТА Ипотека"</t>
  </si>
  <si>
    <t xml:space="preserve"> по состоянию на "1" октября  2013 года</t>
  </si>
  <si>
    <t>(в тысячах казахстанских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</si>
  <si>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</si>
  <si>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</si>
  <si>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</si>
  <si>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</si>
  <si>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</si>
  <si>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</si>
  <si>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</si>
  <si>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предоставленным займам</t>
  </si>
  <si>
    <t xml:space="preserve">   по предоставленной финансовой аренде</t>
  </si>
  <si>
    <t xml:space="preserve">   по приобретенным ценным бумагам</t>
  </si>
  <si>
    <t xml:space="preserve">   по операциям «обратное РЕПО»</t>
  </si>
  <si>
    <t>Прочие доходы, связанные с получением вознаграждения</t>
  </si>
  <si>
    <t>Комиссионные вознаграждения</t>
  </si>
  <si>
    <t xml:space="preserve">    от пенсионных активов          </t>
  </si>
  <si>
    <t xml:space="preserve">    от инвестиционного дохода/убытка по пенсионным активам</t>
  </si>
  <si>
    <t>Доходы от осуществления банковской и иной деятельности, не связанные с получением вознаграждения</t>
  </si>
  <si>
    <t xml:space="preserve">   доходы от осуществления переводных операций</t>
  </si>
  <si>
    <t xml:space="preserve">   доходы от осуществления клиринговых операций</t>
  </si>
  <si>
    <t xml:space="preserve">   доходы от осуществления кассовых операций</t>
  </si>
  <si>
    <t xml:space="preserve">   доходы от осуществления сейфовых операций</t>
  </si>
  <si>
    <t xml:space="preserve">   доходы от инкассации</t>
  </si>
  <si>
    <t>Прочие доходы от банковской и иной деятельности, не связанные с получением вознаграждения</t>
  </si>
  <si>
    <t>Доходы (расходы) по финансовым активам (нетто)</t>
  </si>
  <si>
    <t xml:space="preserve">в том числе:  </t>
  </si>
  <si>
    <t xml:space="preserve">   доходы (расходы) от купли/продажи финансовых активов (нетто)</t>
  </si>
  <si>
    <t xml:space="preserve">  доходы (расходы) от изменения стоимости финансовых активов, учтенных по справедливой стоимости через прибыль и убыток (нетто)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</si>
  <si>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</si>
  <si>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</si>
  <si>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</si>
  <si>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</si>
  <si>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</si>
  <si>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11)</t>
  </si>
  <si>
    <t>Расходы, связанные с выплатой вознаграждения</t>
  </si>
  <si>
    <t xml:space="preserve">   по привлеченным вкладам</t>
  </si>
  <si>
    <t xml:space="preserve">   по полученным займам</t>
  </si>
  <si>
    <t xml:space="preserve">   по полученной финансовой аренде</t>
  </si>
  <si>
    <t xml:space="preserve">   по выпущенным ценным бумагам</t>
  </si>
  <si>
    <t xml:space="preserve">   по операциям «РЕПО»</t>
  </si>
  <si>
    <t>Прочие расходы, связанные с выплатой вознаграждения</t>
  </si>
  <si>
    <t>Комиссионные расходы</t>
  </si>
  <si>
    <t xml:space="preserve">   вознаграждение управляющему агенту</t>
  </si>
  <si>
    <t xml:space="preserve">   вознаграждение за кастодиальное обслуживание</t>
  </si>
  <si>
    <t>Расходы, по банковской и иной деятельности, не связанные с выплатой вознаграждения</t>
  </si>
  <si>
    <t xml:space="preserve">   расходы от осуществления переводных операций</t>
  </si>
  <si>
    <t xml:space="preserve">   расходы от осуществления клиринговых операций</t>
  </si>
  <si>
    <t xml:space="preserve">   расходы от осуществления кассовых операций</t>
  </si>
  <si>
    <t xml:space="preserve">   расходы от осуществления сейфовых операций</t>
  </si>
  <si>
    <t xml:space="preserve">   расходы от осуществления инкассации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</si>
  <si>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</si>
  <si>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</si>
  <si>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</si>
  <si>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 xml:space="preserve">   расходы на материалы</t>
  </si>
  <si>
    <t xml:space="preserve">   расходы по выплате налогов и других обязательных платежей в бюджет, за исключением налога на прибыль</t>
  </si>
  <si>
    <t>Расходы от реализации или безвозмездной передачи активов</t>
  </si>
  <si>
    <t>Прочие расходы</t>
  </si>
  <si>
    <t>Итого расходов (сумма строк с 13 по 20)</t>
  </si>
  <si>
    <t>Прибыль (убыток) до отчисления в резервы (провизии)</t>
  </si>
  <si>
    <t>21-1</t>
  </si>
  <si>
    <t>Резервы (восстановление резервов) на возможные потери по операциям в том числе, на возмещение разницы между показателем номинальной доходности и минимальным значением доходности</t>
  </si>
  <si>
    <t>21-2</t>
  </si>
  <si>
    <t>Итого чистая прибыль (убыток) до налога на прибыль (стр.12-стр.21)</t>
  </si>
  <si>
    <t>Налог на прибыль</t>
  </si>
  <si>
    <t>Чистая прибыль (убыток) после уплаты  налога  на прибыль (стр.22-стр.23)</t>
  </si>
  <si>
    <t>Прибыль (убыток) от прекращенной деятельности</t>
  </si>
  <si>
    <t>Итого чистая прибыль (убыток) за период (стр.24+/- стр.25-стр.26)</t>
  </si>
  <si>
    <t xml:space="preserve">          В графе 2 указываются номера примечаний по статьям, отраженным в пояснительной записке.
          Статья «Доля меньшинства» заполняется при составлении консолидированной финансовой отчетности.</t>
  </si>
  <si>
    <t>Телефон</t>
  </si>
  <si>
    <t>Отчет об изменениях в капитале</t>
  </si>
  <si>
    <t xml:space="preserve">                                                                                                                                                АО "  БТА Ипотека"</t>
  </si>
  <si>
    <t xml:space="preserve"> по состоянию на 1 октября  2013 года</t>
  </si>
  <si>
    <t>( в тысячах тенге)</t>
  </si>
  <si>
    <t>Символ</t>
  </si>
  <si>
    <t>Капитал родительской организации</t>
  </si>
  <si>
    <t>Итого капитал</t>
  </si>
  <si>
    <t>Нераспределенная прибыль (убыток)</t>
  </si>
  <si>
    <t>Всего</t>
  </si>
  <si>
    <t xml:space="preserve">Сальдо на начало предыдущего периода   </t>
  </si>
  <si>
    <t xml:space="preserve">Изменения в учетной политике и  корректировка ошибок </t>
  </si>
  <si>
    <t>Пересчитанное сальдо на начало предыдущего периода</t>
  </si>
  <si>
    <t xml:space="preserve">Переоценка основных средств             
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</si>
  <si>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</si>
  <si>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</si>
  <si>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</si>
  <si>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</si>
  <si>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 xml:space="preserve">Прибыль (убыток) за период   </t>
  </si>
  <si>
    <t>Всего прибыль (убыток) за период</t>
  </si>
  <si>
    <t xml:space="preserve">Дивиденды </t>
  </si>
  <si>
    <t>Эмиссия акций</t>
  </si>
  <si>
    <t>Выкупленные акции</t>
  </si>
  <si>
    <t>Внутренние переводы, в том числе: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</si>
  <si>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</si>
  <si>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</si>
  <si>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</si>
  <si>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</si>
  <si>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</si>
  <si>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</si>
  <si>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Графы "Капитал родительской организации" и "Доля меньшинства" заполняются при составлении консолидированной финансовой отчетности.
При составлении неконсолидированной финансовой отчетности или отсутствии дочерних организаций ипотечные организации заполняют графы 2-6.</t>
  </si>
  <si>
    <t>Руководитель _______________________</t>
  </si>
  <si>
    <t>Главный бухгалтер _____________________</t>
  </si>
  <si>
    <t xml:space="preserve">Исполнитель                      ______________________  </t>
  </si>
  <si>
    <t xml:space="preserve">Телефон: </t>
  </si>
  <si>
    <t>Форма №3</t>
  </si>
  <si>
    <t xml:space="preserve">Наименование организации    </t>
  </si>
  <si>
    <t>АО "БТА  Ипотека"</t>
  </si>
  <si>
    <t xml:space="preserve">  г.Алматы, п-т Достык  д.85"А"</t>
  </si>
  <si>
    <t>Орган управления государственным имуществом</t>
  </si>
  <si>
    <t>Юридическая форма</t>
  </si>
  <si>
    <t>Единица измерения: тыс.тенге</t>
  </si>
  <si>
    <t>Наименование показателей</t>
  </si>
  <si>
    <t>За предыдущий период</t>
  </si>
  <si>
    <t>I. Движение денежных средств от операционной деятельности</t>
  </si>
  <si>
    <t>1 Поступление денежных средств, всего (сумма строк с 011 по 016)</t>
  </si>
  <si>
    <t>010</t>
  </si>
  <si>
    <t xml:space="preserve">реализация товаров и услуг  </t>
  </si>
  <si>
    <t>011</t>
  </si>
  <si>
    <t>прочая выручка</t>
  </si>
  <si>
    <t>012</t>
  </si>
  <si>
    <t>авансы, полученнные от покупателей и заказчиков</t>
  </si>
  <si>
    <t>013</t>
  </si>
  <si>
    <t>поступления по договорам страхования</t>
  </si>
  <si>
    <t>014</t>
  </si>
  <si>
    <t>полученные вознаграждения</t>
  </si>
  <si>
    <t>015</t>
  </si>
  <si>
    <t>прочие поступления</t>
  </si>
  <si>
    <t>016</t>
  </si>
  <si>
    <t>2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</si>
  <si>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</si>
  <si>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</si>
  <si>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</si>
  <si>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авансы, выданные поставщикам товаров и услуг</t>
  </si>
  <si>
    <t>022</t>
  </si>
  <si>
    <t>выплаты по оплате труда</t>
  </si>
  <si>
    <t>023</t>
  </si>
  <si>
    <t>выплата вознаграждения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</si>
  <si>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</si>
  <si>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</si>
  <si>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</si>
  <si>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</si>
  <si>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</si>
  <si>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</si>
  <si>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</si>
  <si>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010- строка 020)</t>
  </si>
  <si>
    <t>030</t>
  </si>
  <si>
    <t>II. Движение денежных средств от инвестиционной деятельности</t>
  </si>
  <si>
    <t>1 Поступление денежных средств всего (сумма строк с 041 по 051 )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</si>
  <si>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</si>
  <si>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</si>
  <si>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</si>
  <si>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</si>
  <si>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</si>
  <si>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</si>
  <si>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</si>
  <si>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</si>
  <si>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</si>
  <si>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</si>
  <si>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</si>
  <si>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</si>
  <si>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</si>
  <si>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</si>
  <si>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</si>
  <si>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форврдные контракты, опционы и свопы</t>
  </si>
  <si>
    <t>048</t>
  </si>
  <si>
    <t>полученные дивиденды</t>
  </si>
  <si>
    <t>049</t>
  </si>
  <si>
    <t>050</t>
  </si>
  <si>
    <t>051</t>
  </si>
  <si>
    <t>2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</si>
  <si>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</si>
  <si>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</si>
  <si>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</si>
  <si>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</si>
  <si>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</si>
  <si>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</si>
  <si>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</si>
  <si>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</si>
  <si>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</si>
  <si>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</si>
  <si>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</si>
  <si>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</si>
  <si>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</si>
  <si>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</si>
  <si>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</si>
  <si>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</si>
  <si>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</si>
  <si>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</si>
  <si>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</si>
  <si>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</si>
  <si>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</si>
  <si>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040-строка 060)</t>
  </si>
  <si>
    <t>080</t>
  </si>
  <si>
    <t>III. Движение денежных средств от финансовой деятельности</t>
  </si>
  <si>
    <t>1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</si>
  <si>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</si>
  <si>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</si>
  <si>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</si>
  <si>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 xml:space="preserve"> </t>
  </si>
  <si>
    <t>получение займов</t>
  </si>
  <si>
    <t>092</t>
  </si>
  <si>
    <t>093</t>
  </si>
  <si>
    <t xml:space="preserve">прочие поступления   </t>
  </si>
  <si>
    <t>094</t>
  </si>
  <si>
    <t>2 Выбытие денежных средств, всего (сумма строк с 101 по 105 )</t>
  </si>
  <si>
    <t>100</t>
  </si>
  <si>
    <t>погашение займов</t>
  </si>
  <si>
    <t>101</t>
  </si>
  <si>
    <t>102</t>
  </si>
  <si>
    <t>выплата дивидендов</t>
  </si>
  <si>
    <t>103</t>
  </si>
  <si>
    <t>выплата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</si>
  <si>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</si>
  <si>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</si>
  <si>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</si>
  <si>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 (строка 090- строка 100)</t>
  </si>
  <si>
    <t>110</t>
  </si>
  <si>
    <t>4. Влияние обменных курсов валют к тенге</t>
  </si>
  <si>
    <t>5. Увеличение+/-уменьшение денежных средств (строка 030+/- строка 080+/- строка 110)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</si>
  <si>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</si>
  <si>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</si>
  <si>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 ________________________    ________________ </t>
  </si>
  <si>
    <t>            (фамилия, имя, отчество)       (подпись)</t>
  </si>
  <si>
    <t>Главный бухгалтер _______________________  ________________</t>
  </si>
  <si>
    <t>                 (фамилия, имя, отчество)   (подпись)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</si>
</sst>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 horizontal="justify" shrinkToFit="1"/>
    </xf>
    <xf numFmtId="0" fontId="4" fillId="0" borderId="0" xfId="0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/>
      <protection locked="0"/>
    </xf>
    <xf numFmtId="164" fontId="2" fillId="0" borderId="10" xfId="6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0" xfId="6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wrapText="1"/>
      <protection/>
    </xf>
    <xf numFmtId="164" fontId="4" fillId="0" borderId="10" xfId="6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justify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2" fillId="0" borderId="0" xfId="53" applyNumberFormat="1" applyFont="1" applyFill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wrapText="1" shrinkToFit="1"/>
      <protection locked="0"/>
    </xf>
    <xf numFmtId="16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Fill="1" applyBorder="1" applyAlignment="1" applyProtection="1">
      <alignment horizontal="justify"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49" fontId="2" fillId="0" borderId="1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52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 applyProtection="1">
      <alignment horizontal="left" wrapText="1"/>
      <protection locked="0"/>
    </xf>
    <xf numFmtId="0" fontId="26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justify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0" xfId="0" applyFont="1" applyFill="1" applyBorder="1" applyAlignment="1" applyProtection="1">
      <alignment horizontal="center" vertical="justify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top" wrapText="1"/>
      <protection/>
    </xf>
    <xf numFmtId="3" fontId="2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2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8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8" fillId="0" borderId="10" xfId="0" applyFont="1" applyBorder="1" applyAlignment="1">
      <alignment/>
    </xf>
    <xf numFmtId="49" fontId="28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right"/>
    </xf>
    <xf numFmtId="165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7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/>
    </xf>
    <xf numFmtId="165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3" fontId="28" fillId="0" borderId="10" xfId="0" applyNumberFormat="1" applyFont="1" applyBorder="1" applyAlignment="1">
      <alignment horizontal="right"/>
    </xf>
    <xf numFmtId="0" fontId="28" fillId="0" borderId="10" xfId="0" applyFont="1" applyBorder="1" applyAlignment="1">
      <alignment wrapText="1"/>
    </xf>
    <xf numFmtId="0" fontId="9" fillId="0" borderId="0" xfId="0" applyFont="1" applyAlignment="1">
      <alignment/>
    </xf>
    <xf numFmtId="165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165" fontId="27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28" fillId="0" borderId="10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/>
    </xf>
    <xf numFmtId="49" fontId="28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4" fillId="33" borderId="0" xfId="0" applyFont="1" applyFill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5" fontId="3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рокеры ежекв (вход)" xfId="52"/>
    <cellStyle name="Обычный_Приложения к Правилам по ИК_рус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PEZH~1\AppData\Local\Temp\notesAC1CE6\I001_01_10_2013%20&#1086;&#1082;&#1086;&#1085;&#10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hange\&#1054;&#1090;&#1095;&#1077;&#1090;&#1099;%20&#1074;%20&#1041;&#1058;&#1040;%202013\&#1089;&#1077;&#1085;&#1090;&#1103;&#1073;&#1088;&#1100;%202013\&#1060;&#1086;&#1088;&#1084;&#1072;_%203_%20&#1044;&#1074;&#1080;&#1078;&#1077;&#1085;&#1080;&#1077;%20&#1076;&#1077;&#1085;&#1077;&#1075;%20&#1087;&#1088;&#1103;&#1084;&#1099;&#1084;%20&#1084;&#1077;&#1090;&#1086;&#1076;&#1086;&#1084;_%203009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3 кл"/>
      <sheetName val="4-5 кл"/>
      <sheetName val="6 кл"/>
      <sheetName val="7 кл"/>
      <sheetName val="ф1"/>
      <sheetName val="ф2"/>
      <sheetName val="ф3"/>
      <sheetName val="ф4"/>
      <sheetName val="пр.2"/>
      <sheetName val="пр.3"/>
      <sheetName val="пр.4ИК"/>
      <sheetName val="пр.5ЦБ"/>
      <sheetName val="пр.6РЕПО"/>
      <sheetName val="пр.7Вклады"/>
      <sheetName val="табл.1"/>
      <sheetName val="табл.2"/>
      <sheetName val="табл.3"/>
      <sheetName val="табл.4"/>
      <sheetName val="табл.5"/>
      <sheetName val="табл.6"/>
      <sheetName val="табл.7"/>
      <sheetName val="табл.8"/>
      <sheetName val="табл.9"/>
      <sheetName val="табл.10"/>
      <sheetName val="табл.11"/>
      <sheetName val="Активы"/>
      <sheetName val="Услов.и возм.обяз-ва"/>
      <sheetName val="Доп.свед."/>
      <sheetName val="РасчетПрудНорм"/>
      <sheetName val="пр.8ПривлечДенег"/>
      <sheetName val="пр.9ПросрочЗадЗаймам"/>
      <sheetName val="Анкета"/>
      <sheetName val="СведРасчКоэфДост "/>
    </sheetNames>
    <sheetDataSet>
      <sheetData sheetId="0">
        <row r="10">
          <cell r="C10">
            <v>4952</v>
          </cell>
          <cell r="G10">
            <v>0</v>
          </cell>
        </row>
        <row r="17">
          <cell r="G17">
            <v>0</v>
          </cell>
        </row>
        <row r="20">
          <cell r="C20">
            <v>0</v>
          </cell>
        </row>
        <row r="23">
          <cell r="G23">
            <v>12614269</v>
          </cell>
        </row>
        <row r="24">
          <cell r="C24">
            <v>669447</v>
          </cell>
        </row>
        <row r="36">
          <cell r="C36">
            <v>186</v>
          </cell>
        </row>
        <row r="40">
          <cell r="G40">
            <v>0</v>
          </cell>
        </row>
        <row r="45">
          <cell r="C45">
            <v>0</v>
          </cell>
        </row>
        <row r="51">
          <cell r="G51">
            <v>5614037</v>
          </cell>
        </row>
        <row r="57">
          <cell r="G57">
            <v>0</v>
          </cell>
        </row>
        <row r="62">
          <cell r="C62">
            <v>0</v>
          </cell>
        </row>
        <row r="69">
          <cell r="G69">
            <v>0</v>
          </cell>
        </row>
        <row r="70">
          <cell r="G70">
            <v>0</v>
          </cell>
        </row>
        <row r="71">
          <cell r="G71">
            <v>346975</v>
          </cell>
        </row>
        <row r="72">
          <cell r="G72">
            <v>0</v>
          </cell>
        </row>
        <row r="73">
          <cell r="G73">
            <v>0</v>
          </cell>
        </row>
        <row r="75">
          <cell r="C75">
            <v>0</v>
          </cell>
        </row>
        <row r="77">
          <cell r="G77">
            <v>93120</v>
          </cell>
        </row>
        <row r="87">
          <cell r="C87">
            <v>38</v>
          </cell>
        </row>
        <row r="91">
          <cell r="C91">
            <v>16335425</v>
          </cell>
        </row>
        <row r="93">
          <cell r="G93">
            <v>704</v>
          </cell>
        </row>
        <row r="108">
          <cell r="G108">
            <v>389048</v>
          </cell>
        </row>
        <row r="114">
          <cell r="C114">
            <v>0</v>
          </cell>
        </row>
        <row r="127">
          <cell r="C127">
            <v>0</v>
          </cell>
        </row>
        <row r="131">
          <cell r="G131">
            <v>1215</v>
          </cell>
        </row>
        <row r="135">
          <cell r="C135">
            <v>7543675</v>
          </cell>
        </row>
        <row r="140">
          <cell r="G140">
            <v>5615004</v>
          </cell>
        </row>
        <row r="141">
          <cell r="G141">
            <v>5615004</v>
          </cell>
        </row>
        <row r="143">
          <cell r="C143">
            <v>96805</v>
          </cell>
        </row>
        <row r="144">
          <cell r="C144">
            <v>78867</v>
          </cell>
        </row>
        <row r="145">
          <cell r="C145">
            <v>40591</v>
          </cell>
          <cell r="G145">
            <v>0</v>
          </cell>
        </row>
        <row r="147">
          <cell r="C147">
            <v>4698</v>
          </cell>
        </row>
        <row r="149">
          <cell r="C149">
            <v>16498</v>
          </cell>
        </row>
        <row r="150">
          <cell r="C150">
            <v>16423</v>
          </cell>
          <cell r="G150">
            <v>5134250</v>
          </cell>
        </row>
        <row r="153">
          <cell r="C153">
            <v>-55998</v>
          </cell>
          <cell r="G153">
            <v>-3899709</v>
          </cell>
        </row>
        <row r="154">
          <cell r="C154">
            <v>-58388</v>
          </cell>
        </row>
        <row r="155">
          <cell r="C155">
            <v>-30934</v>
          </cell>
        </row>
        <row r="156">
          <cell r="G156">
            <v>413212</v>
          </cell>
        </row>
        <row r="157">
          <cell r="C157">
            <v>-1240</v>
          </cell>
        </row>
        <row r="159">
          <cell r="C159">
            <v>-14481</v>
          </cell>
        </row>
        <row r="160">
          <cell r="C160">
            <v>-10554</v>
          </cell>
        </row>
        <row r="173">
          <cell r="C173">
            <v>1318861</v>
          </cell>
        </row>
        <row r="174">
          <cell r="C174">
            <v>21378</v>
          </cell>
        </row>
        <row r="184">
          <cell r="C184">
            <v>45310</v>
          </cell>
        </row>
        <row r="185">
          <cell r="C185">
            <v>5794</v>
          </cell>
        </row>
        <row r="189">
          <cell r="C189">
            <v>20437</v>
          </cell>
        </row>
        <row r="203">
          <cell r="C203">
            <v>11978</v>
          </cell>
        </row>
        <row r="215">
          <cell r="C215">
            <v>262357</v>
          </cell>
        </row>
        <row r="229">
          <cell r="C229">
            <v>7648</v>
          </cell>
        </row>
        <row r="238">
          <cell r="C238">
            <v>0</v>
          </cell>
        </row>
      </sheetData>
      <sheetData sheetId="1">
        <row r="12">
          <cell r="C12">
            <v>0</v>
          </cell>
        </row>
        <row r="16">
          <cell r="G16">
            <v>0</v>
          </cell>
        </row>
        <row r="17">
          <cell r="C17">
            <v>0</v>
          </cell>
        </row>
        <row r="22">
          <cell r="C22">
            <v>881544</v>
          </cell>
          <cell r="G22">
            <v>0</v>
          </cell>
        </row>
        <row r="25">
          <cell r="G25">
            <v>0</v>
          </cell>
        </row>
        <row r="32">
          <cell r="C32">
            <v>0</v>
          </cell>
        </row>
        <row r="41">
          <cell r="G41">
            <v>0</v>
          </cell>
        </row>
        <row r="42">
          <cell r="C42">
            <v>0</v>
          </cell>
        </row>
        <row r="45">
          <cell r="C45">
            <v>0</v>
          </cell>
        </row>
        <row r="52">
          <cell r="G52">
            <v>0</v>
          </cell>
        </row>
        <row r="55">
          <cell r="C55">
            <v>421694</v>
          </cell>
        </row>
        <row r="62">
          <cell r="C62">
            <v>0</v>
          </cell>
        </row>
        <row r="67">
          <cell r="G67">
            <v>1793457</v>
          </cell>
        </row>
        <row r="72">
          <cell r="C72">
            <v>3726663</v>
          </cell>
        </row>
        <row r="79">
          <cell r="C79">
            <v>87</v>
          </cell>
        </row>
        <row r="84">
          <cell r="G84">
            <v>0</v>
          </cell>
        </row>
        <row r="90">
          <cell r="G90">
            <v>0</v>
          </cell>
        </row>
        <row r="91">
          <cell r="C91">
            <v>35164</v>
          </cell>
        </row>
        <row r="98">
          <cell r="C98">
            <v>32987</v>
          </cell>
          <cell r="G98">
            <v>0</v>
          </cell>
        </row>
        <row r="100">
          <cell r="C100">
            <v>2264</v>
          </cell>
        </row>
        <row r="102">
          <cell r="C102">
            <v>298</v>
          </cell>
        </row>
        <row r="108">
          <cell r="C108">
            <v>592935</v>
          </cell>
        </row>
        <row r="110">
          <cell r="G110">
            <v>242390</v>
          </cell>
        </row>
        <row r="117">
          <cell r="C117">
            <v>137825</v>
          </cell>
        </row>
        <row r="126">
          <cell r="C126">
            <v>14801</v>
          </cell>
          <cell r="G126">
            <v>35772</v>
          </cell>
        </row>
        <row r="130">
          <cell r="C130">
            <v>87625</v>
          </cell>
          <cell r="G130">
            <v>298</v>
          </cell>
        </row>
        <row r="138">
          <cell r="C138">
            <v>40006</v>
          </cell>
        </row>
        <row r="140">
          <cell r="G140">
            <v>794908</v>
          </cell>
        </row>
        <row r="147">
          <cell r="C147">
            <v>689019</v>
          </cell>
        </row>
        <row r="148">
          <cell r="G148">
            <v>0</v>
          </cell>
        </row>
        <row r="155">
          <cell r="G155">
            <v>36639</v>
          </cell>
        </row>
        <row r="157">
          <cell r="G157">
            <v>179</v>
          </cell>
        </row>
        <row r="158">
          <cell r="G158">
            <v>211418</v>
          </cell>
        </row>
        <row r="163">
          <cell r="C163">
            <v>31</v>
          </cell>
        </row>
        <row r="164">
          <cell r="C164">
            <v>296804</v>
          </cell>
        </row>
        <row r="165">
          <cell r="G165">
            <v>4502064</v>
          </cell>
        </row>
        <row r="171">
          <cell r="C171">
            <v>258967</v>
          </cell>
          <cell r="G171">
            <v>7617125</v>
          </cell>
        </row>
        <row r="172">
          <cell r="C172">
            <v>7203913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30.09.13"/>
      <sheetName val="30.09.12"/>
    </sheetNames>
    <sheetDataSet>
      <sheetData sheetId="0">
        <row r="22">
          <cell r="D22">
            <v>3983667.14467</v>
          </cell>
          <cell r="E22">
            <v>6556747.185410002</v>
          </cell>
        </row>
        <row r="27">
          <cell r="D27">
            <v>3080.21662</v>
          </cell>
          <cell r="E27">
            <v>2029.15619</v>
          </cell>
        </row>
        <row r="30">
          <cell r="D30">
            <v>411253.1168</v>
          </cell>
          <cell r="E30">
            <v>449838.46589000005</v>
          </cell>
        </row>
        <row r="32">
          <cell r="D32">
            <v>439728.06928</v>
          </cell>
          <cell r="E32">
            <v>458057.31187</v>
          </cell>
        </row>
        <row r="35">
          <cell r="D35">
            <v>671778.3307700001</v>
          </cell>
          <cell r="E35">
            <v>670036.2402799999</v>
          </cell>
        </row>
        <row r="36">
          <cell r="D36">
            <v>709822.2390799997</v>
          </cell>
          <cell r="E36">
            <v>3817640.4814400002</v>
          </cell>
        </row>
        <row r="42">
          <cell r="D42">
            <v>1456.12858</v>
          </cell>
          <cell r="E42">
            <v>138.70718</v>
          </cell>
        </row>
        <row r="44">
          <cell r="D44">
            <v>793452.28024</v>
          </cell>
          <cell r="E44">
            <v>740606.1004</v>
          </cell>
        </row>
        <row r="48">
          <cell r="E48">
            <v>35531.488</v>
          </cell>
        </row>
        <row r="49">
          <cell r="E49">
            <v>92030.62697</v>
          </cell>
        </row>
        <row r="51">
          <cell r="E51">
            <v>1546.47477</v>
          </cell>
        </row>
        <row r="55">
          <cell r="D55">
            <v>7176.29711</v>
          </cell>
          <cell r="E55">
            <v>14327.92246</v>
          </cell>
        </row>
        <row r="56">
          <cell r="D56">
            <v>75.09821</v>
          </cell>
          <cell r="E56">
            <v>12531.838</v>
          </cell>
        </row>
        <row r="73">
          <cell r="D73">
            <v>1879937.97647</v>
          </cell>
          <cell r="E73">
            <v>2868615.2910999996</v>
          </cell>
        </row>
        <row r="77">
          <cell r="D77">
            <v>221144.77488</v>
          </cell>
          <cell r="E77">
            <v>604259.41423</v>
          </cell>
        </row>
        <row r="78">
          <cell r="D78">
            <v>758473.84879</v>
          </cell>
          <cell r="E78">
            <v>1725194.92042</v>
          </cell>
        </row>
        <row r="81">
          <cell r="D81">
            <v>3331193.0300000003</v>
          </cell>
          <cell r="E81">
            <v>2893663.23083</v>
          </cell>
        </row>
        <row r="83">
          <cell r="D83">
            <v>53.606029999999976</v>
          </cell>
          <cell r="E83">
            <v>347.4018400000002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A49">
      <selection activeCell="A18" sqref="A18"/>
    </sheetView>
  </sheetViews>
  <sheetFormatPr defaultColWidth="9.140625" defaultRowHeight="15"/>
  <cols>
    <col min="1" max="1" width="71.421875" style="0" customWidth="1"/>
    <col min="3" max="3" width="14.00390625" style="0" customWidth="1"/>
    <col min="4" max="4" width="15.28125" style="0" customWidth="1"/>
  </cols>
  <sheetData>
    <row r="1" spans="1:19" ht="15">
      <c r="A1" s="1"/>
      <c r="B1" s="1"/>
      <c r="C1" s="47" t="s">
        <v>0</v>
      </c>
      <c r="D1" s="4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2"/>
      <c r="D2" s="3" t="s">
        <v>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49" t="s">
        <v>2</v>
      </c>
      <c r="B3" s="49"/>
      <c r="C3" s="49"/>
      <c r="D3" s="4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0" t="s">
        <v>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>
      <c r="A5" s="51" t="s">
        <v>4</v>
      </c>
      <c r="B5" s="51"/>
      <c r="C5" s="51"/>
      <c r="D5" s="5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9" t="s">
        <v>5</v>
      </c>
      <c r="B6" s="49"/>
      <c r="C6" s="49"/>
      <c r="D6" s="4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4"/>
      <c r="B7" s="4"/>
      <c r="C7" s="4"/>
      <c r="D7" s="5" t="s">
        <v>6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38.25">
      <c r="A8" s="6" t="s">
        <v>7</v>
      </c>
      <c r="B8" s="6" t="s">
        <v>8</v>
      </c>
      <c r="C8" s="6" t="s">
        <v>9</v>
      </c>
      <c r="D8" s="6" t="s">
        <v>10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>
      <c r="A9" s="7">
        <v>1</v>
      </c>
      <c r="B9" s="7">
        <v>2</v>
      </c>
      <c r="C9" s="7">
        <v>3</v>
      </c>
      <c r="D9" s="7">
        <v>4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8" t="s">
        <v>11</v>
      </c>
      <c r="B10" s="9"/>
      <c r="C10" s="10"/>
      <c r="D10" s="10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11" t="s">
        <v>12</v>
      </c>
      <c r="B11" s="12">
        <v>1</v>
      </c>
      <c r="C11" s="10">
        <f>'[1]1-3 кл'!C10+'[1]1-3 кл'!C229</f>
        <v>12600</v>
      </c>
      <c r="D11" s="10">
        <v>10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13" t="s">
        <v>13</v>
      </c>
      <c r="B12" s="12">
        <v>2</v>
      </c>
      <c r="C12" s="10">
        <f>'[1]1-3 кл'!C20+'[1]1-3 кл'!C166</f>
        <v>0</v>
      </c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13" t="s">
        <v>14</v>
      </c>
      <c r="B13" s="12">
        <v>3</v>
      </c>
      <c r="C13" s="10">
        <f>'[1]1-3 кл'!C36+'[1]1-3 кл'!C175</f>
        <v>186</v>
      </c>
      <c r="D13" s="10">
        <v>186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13" t="s">
        <v>15</v>
      </c>
      <c r="B14" s="14" t="s">
        <v>16</v>
      </c>
      <c r="C14" s="10">
        <f>'[1]1-3 кл'!C238+'[1]1-3 кл'!C182</f>
        <v>0</v>
      </c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6.25">
      <c r="A15" s="13" t="s">
        <v>17</v>
      </c>
      <c r="B15" s="12">
        <v>5</v>
      </c>
      <c r="C15" s="10">
        <f>'[1]1-3 кл'!C114+'[1]1-3 кл'!C177</f>
        <v>0</v>
      </c>
      <c r="D15" s="1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13" t="s">
        <v>18</v>
      </c>
      <c r="B16" s="12">
        <v>6</v>
      </c>
      <c r="C16" s="10">
        <f>'[1]1-3 кл'!C215-'[1]1-3 кл'!C229</f>
        <v>254709</v>
      </c>
      <c r="D16" s="15">
        <v>148581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3" t="s">
        <v>19</v>
      </c>
      <c r="B17" s="12">
        <v>7</v>
      </c>
      <c r="C17" s="10"/>
      <c r="D17" s="10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13" t="s">
        <v>20</v>
      </c>
      <c r="B18" s="12"/>
      <c r="C18" s="10"/>
      <c r="D18" s="10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13" t="s">
        <v>21</v>
      </c>
      <c r="B19" s="12"/>
      <c r="C19" s="10"/>
      <c r="D19" s="10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13" t="s">
        <v>22</v>
      </c>
      <c r="B20" s="14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13" t="s">
        <v>23</v>
      </c>
      <c r="B21" s="14" t="s">
        <v>24</v>
      </c>
      <c r="C21" s="10">
        <f>'[1]1-3 кл'!C127+'[1]1-3 кл'!C176</f>
        <v>0</v>
      </c>
      <c r="D21" s="10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13" t="s">
        <v>25</v>
      </c>
      <c r="B22" s="12">
        <v>9</v>
      </c>
      <c r="C22" s="10">
        <f>'[1]1-3 кл'!C121+'[1]1-3 кл'!C179</f>
        <v>0</v>
      </c>
      <c r="D22" s="10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13" t="s">
        <v>26</v>
      </c>
      <c r="B23" s="12">
        <v>10</v>
      </c>
      <c r="C23" s="10">
        <f>'[1]1-3 кл'!C24+'[1]1-3 кл'!C45+'[1]1-3 кл'!C162+'[1]1-3 кл'!C163+'[1]1-3 кл'!C164+'[1]1-3 кл'!C165+'[1]1-3 кл'!C167</f>
        <v>669447</v>
      </c>
      <c r="D23" s="10">
        <v>571088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>
      <c r="A24" s="13" t="s">
        <v>27</v>
      </c>
      <c r="B24" s="12">
        <v>11</v>
      </c>
      <c r="C24" s="10"/>
      <c r="D24" s="1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13" t="s">
        <v>28</v>
      </c>
      <c r="B25" s="12">
        <v>12</v>
      </c>
      <c r="C25" s="10">
        <f>'[1]1-3 кл'!C62+'[1]1-3 кл'!C75+'[1]1-3 кл'!C91+'[1]1-3 кл'!C168+'[1]1-3 кл'!C169+'[1]1-3 кл'!C170+'[1]1-3 кл'!C171+'[1]1-3 кл'!C173+'[1]1-3 кл'!C174+'[1]1-3 кл'!C181</f>
        <v>17675664</v>
      </c>
      <c r="D25" s="10">
        <v>20596705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13" t="s">
        <v>29</v>
      </c>
      <c r="B26" s="12">
        <v>13</v>
      </c>
      <c r="C26" s="10"/>
      <c r="D26" s="10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13" t="s">
        <v>30</v>
      </c>
      <c r="B27" s="12">
        <v>14</v>
      </c>
      <c r="C27" s="10"/>
      <c r="D27" s="10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13" t="s">
        <v>31</v>
      </c>
      <c r="B28" s="12">
        <v>15</v>
      </c>
      <c r="C28" s="10">
        <f>'[1]1-3 кл'!C135</f>
        <v>7543675</v>
      </c>
      <c r="D28" s="10">
        <v>1984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13" t="s">
        <v>32</v>
      </c>
      <c r="B29" s="12">
        <v>16</v>
      </c>
      <c r="C29" s="10"/>
      <c r="D29" s="10">
        <v>7467619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13" t="s">
        <v>33</v>
      </c>
      <c r="B30" s="12">
        <v>17</v>
      </c>
      <c r="C30" s="10">
        <f>'[1]1-3 кл'!C150+'[1]1-3 кл'!C160</f>
        <v>5869</v>
      </c>
      <c r="D30" s="10">
        <v>17120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>
      <c r="A31" s="16" t="s">
        <v>34</v>
      </c>
      <c r="B31" s="12">
        <v>18</v>
      </c>
      <c r="C31" s="10">
        <f>'[1]1-3 кл'!C143+'[1]1-3 кл'!C144+'[1]1-3 кл'!C145+'[1]1-3 кл'!C149+'[1]1-3 кл'!C153+'[1]1-3 кл'!C154+'[1]1-3 кл'!C155+'[1]1-3 кл'!C159+'[1]1-3 кл'!C147+'[1]1-3 кл'!C157</f>
        <v>76418</v>
      </c>
      <c r="D31" s="10">
        <v>98173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13" t="s">
        <v>35</v>
      </c>
      <c r="B32" s="12">
        <v>19</v>
      </c>
      <c r="C32" s="10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13" t="s">
        <v>36</v>
      </c>
      <c r="B33" s="12">
        <v>20</v>
      </c>
      <c r="C33" s="10"/>
      <c r="D33" s="1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3" t="s">
        <v>37</v>
      </c>
      <c r="B34" s="12">
        <v>21</v>
      </c>
      <c r="C34" s="10">
        <f>'[1]1-3 кл'!C87+'[1]1-3 кл'!C184+'[1]1-3 кл'!C185+'[1]1-3 кл'!C189+'[1]1-3 кл'!C180+'[1]1-3 кл'!C203</f>
        <v>83557</v>
      </c>
      <c r="D34" s="10">
        <v>73299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3"/>
      <c r="B35" s="12"/>
      <c r="C35" s="10"/>
      <c r="D35" s="1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7" t="s">
        <v>38</v>
      </c>
      <c r="B36" s="12">
        <v>22</v>
      </c>
      <c r="C36" s="18">
        <f>C11+C12+C13+C14+C15+C16+C17+C21+C22+C23+C24+C25+C26+C27+C28+C29+C30+C31+C32+C33+C34</f>
        <v>26322125</v>
      </c>
      <c r="D36" s="18">
        <f>D11+D12+D13+D14+D15+D16+D17+D21+D22+D23+D24+D25+D26+D27+D28+D29+D30+D31+D32+D33+D34</f>
        <v>28974765</v>
      </c>
      <c r="E36" s="1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13"/>
      <c r="B37" s="12"/>
      <c r="C37" s="10"/>
      <c r="D37" s="10"/>
      <c r="E37" s="19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20" t="s">
        <v>39</v>
      </c>
      <c r="B38" s="12"/>
      <c r="C38" s="10"/>
      <c r="D38" s="1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21" t="s">
        <v>40</v>
      </c>
      <c r="B39" s="12">
        <v>23</v>
      </c>
      <c r="C39" s="10">
        <f>'[1]1-3 кл'!G44+'[1]1-3 кл'!G49</f>
        <v>0</v>
      </c>
      <c r="D39" s="1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13" t="s">
        <v>15</v>
      </c>
      <c r="B40" s="12">
        <v>24</v>
      </c>
      <c r="C40" s="10">
        <f>'[1]1-3 кл'!G131+'[1]1-3 кл'!G76</f>
        <v>1215</v>
      </c>
      <c r="D40" s="10">
        <v>1215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21" t="s">
        <v>41</v>
      </c>
      <c r="B41" s="12">
        <v>25</v>
      </c>
      <c r="C41" s="10">
        <f>'[1]1-3 кл'!G51+'[1]1-3 кл'!G77+'[1]1-3 кл'!G81</f>
        <v>5707157</v>
      </c>
      <c r="D41" s="10">
        <v>8616656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13" t="s">
        <v>42</v>
      </c>
      <c r="B42" s="12">
        <v>26</v>
      </c>
      <c r="C42" s="10">
        <f>'[1]1-3 кл'!G50+'[1]1-3 кл'!G75</f>
        <v>0</v>
      </c>
      <c r="D42" s="1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21" t="s">
        <v>43</v>
      </c>
      <c r="B43" s="12">
        <v>27</v>
      </c>
      <c r="C43" s="10">
        <f>'[1]1-3 кл'!G10+'[1]1-3 кл'!G17+'[1]1-3 кл'!G23+'[1]1-3 кл'!G40+'[1]1-3 кл'!G71+'[1]1-3 кл'!G69+'[1]1-3 кл'!G70+'[1]1-3 кл'!G73+'[1]1-3 кл'!G72+'[1]1-3 кл'!G80+'[1]1-3 кл'!G82</f>
        <v>12961244</v>
      </c>
      <c r="D43" s="10">
        <v>13059318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21" t="s">
        <v>44</v>
      </c>
      <c r="B44" s="12">
        <v>28</v>
      </c>
      <c r="C44" s="10">
        <f>'[1]1-3 кл'!G108</f>
        <v>389048</v>
      </c>
      <c r="D44" s="15">
        <v>447110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11" t="s">
        <v>45</v>
      </c>
      <c r="B45" s="12">
        <v>29</v>
      </c>
      <c r="C45" s="10"/>
      <c r="D45" s="1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11" t="s">
        <v>46</v>
      </c>
      <c r="B46" s="12">
        <v>30</v>
      </c>
      <c r="C46" s="10"/>
      <c r="D46" s="1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11" t="s">
        <v>47</v>
      </c>
      <c r="B47" s="12">
        <v>31</v>
      </c>
      <c r="C47" s="10">
        <f>'[1]1-3 кл'!G57+'[1]1-3 кл'!G85+'[1]1-3 кл'!G79</f>
        <v>0</v>
      </c>
      <c r="D47" s="1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13" t="s">
        <v>48</v>
      </c>
      <c r="B48" s="22" t="s">
        <v>49</v>
      </c>
      <c r="C48" s="10"/>
      <c r="D48" s="1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13" t="s">
        <v>50</v>
      </c>
      <c r="B49" s="22" t="s">
        <v>51</v>
      </c>
      <c r="C49" s="10"/>
      <c r="D49" s="1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13" t="s">
        <v>52</v>
      </c>
      <c r="B50" s="22" t="s">
        <v>53</v>
      </c>
      <c r="C50" s="10">
        <f>'[1]1-3 кл'!G93</f>
        <v>704</v>
      </c>
      <c r="D50" s="10">
        <v>921</v>
      </c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17" t="s">
        <v>54</v>
      </c>
      <c r="B51" s="12">
        <v>35</v>
      </c>
      <c r="C51" s="18">
        <f>C39+C40+C41+C42+C43+C44+C45+C46+C47+C48+C49+C50</f>
        <v>19059368</v>
      </c>
      <c r="D51" s="18">
        <f>D39+D40+D41+D42+D43+D44+D45+D46+D47+D48+D49+D50</f>
        <v>22125220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17"/>
      <c r="B52" s="12"/>
      <c r="C52" s="10"/>
      <c r="D52" s="1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17" t="s">
        <v>55</v>
      </c>
      <c r="B53" s="12"/>
      <c r="C53" s="10"/>
      <c r="D53" s="1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13" t="s">
        <v>56</v>
      </c>
      <c r="B54" s="12">
        <v>36</v>
      </c>
      <c r="C54" s="10">
        <f>'[1]1-3 кл'!G140</f>
        <v>5615004</v>
      </c>
      <c r="D54" s="10">
        <f>D56</f>
        <v>5615004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13" t="s">
        <v>20</v>
      </c>
      <c r="B55" s="12"/>
      <c r="C55" s="10"/>
      <c r="D55" s="1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21" t="s">
        <v>57</v>
      </c>
      <c r="B56" s="12"/>
      <c r="C56" s="10">
        <f>'[1]1-3 кл'!G141</f>
        <v>5615004</v>
      </c>
      <c r="D56" s="10">
        <v>5615004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3" t="s">
        <v>58</v>
      </c>
      <c r="B57" s="12"/>
      <c r="C57" s="10"/>
      <c r="D57" s="1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3" t="s">
        <v>59</v>
      </c>
      <c r="B58" s="12">
        <v>37</v>
      </c>
      <c r="C58" s="10">
        <f>'[1]1-3 кл'!G145</f>
        <v>0</v>
      </c>
      <c r="D58" s="1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3" t="s">
        <v>60</v>
      </c>
      <c r="B59" s="12">
        <v>38</v>
      </c>
      <c r="C59" s="10"/>
      <c r="D59" s="1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3" t="s">
        <v>61</v>
      </c>
      <c r="B60" s="12">
        <v>39</v>
      </c>
      <c r="C60" s="10">
        <f>'[1]1-3 кл'!G150</f>
        <v>5134250</v>
      </c>
      <c r="D60" s="10">
        <v>5134250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3" t="s">
        <v>62</v>
      </c>
      <c r="B61" s="12">
        <v>40</v>
      </c>
      <c r="C61" s="10"/>
      <c r="D61" s="1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13" t="s">
        <v>63</v>
      </c>
      <c r="B62" s="23">
        <v>41</v>
      </c>
      <c r="C62" s="10">
        <f>C64+C65</f>
        <v>-3486497</v>
      </c>
      <c r="D62" s="10">
        <f>D64+D65</f>
        <v>-3899709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3" t="s">
        <v>20</v>
      </c>
      <c r="B63" s="23"/>
      <c r="C63" s="10"/>
      <c r="D63" s="1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" t="s">
        <v>64</v>
      </c>
      <c r="B64" s="24"/>
      <c r="C64" s="10">
        <f>'[1]1-3 кл'!G153</f>
        <v>-3899709</v>
      </c>
      <c r="D64" s="10">
        <v>-4570537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13" t="s">
        <v>65</v>
      </c>
      <c r="B65" s="23"/>
      <c r="C65" s="10">
        <f>'[1]1-3 кл'!G156</f>
        <v>413212</v>
      </c>
      <c r="D65" s="15">
        <v>670828</v>
      </c>
      <c r="E65" s="1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13" t="s">
        <v>66</v>
      </c>
      <c r="B66" s="23">
        <v>42</v>
      </c>
      <c r="C66" s="10"/>
      <c r="D66" s="10"/>
      <c r="E66" s="1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5">
      <c r="A67" s="17" t="s">
        <v>67</v>
      </c>
      <c r="B67" s="23">
        <v>43</v>
      </c>
      <c r="C67" s="18">
        <f>C54+C58-C59+C60+C61+C62</f>
        <v>7262757</v>
      </c>
      <c r="D67" s="18">
        <f>D54+D58-D59+D60+D61+D62</f>
        <v>6849545</v>
      </c>
      <c r="E67" s="1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17" t="s">
        <v>68</v>
      </c>
      <c r="B68" s="23">
        <v>44</v>
      </c>
      <c r="C68" s="18">
        <f>C51+C67</f>
        <v>26322125</v>
      </c>
      <c r="D68" s="18">
        <f>D51+D67</f>
        <v>28974765</v>
      </c>
      <c r="E68" s="1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1"/>
      <c r="B69" s="1"/>
      <c r="C69" s="25">
        <f>C36-C68</f>
        <v>0</v>
      </c>
      <c r="D69" s="25">
        <f>D36-D68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52" t="s">
        <v>69</v>
      </c>
      <c r="B70" s="52"/>
      <c r="C70" s="52"/>
      <c r="D70" s="5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46" t="s">
        <v>70</v>
      </c>
      <c r="B71" s="46"/>
      <c r="C71" s="46"/>
      <c r="D71" s="46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5">
      <c r="A72" s="2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26" t="s">
        <v>71</v>
      </c>
      <c r="B73" s="1" t="s">
        <v>72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2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27" t="s">
        <v>73</v>
      </c>
      <c r="B75" s="1" t="s">
        <v>72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2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26" t="s">
        <v>74</v>
      </c>
      <c r="B77" s="1" t="s">
        <v>72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2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1" t="s">
        <v>75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26" t="s">
        <v>76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</sheetData>
  <sheetProtection/>
  <mergeCells count="7">
    <mergeCell ref="A71:D71"/>
    <mergeCell ref="C1:D1"/>
    <mergeCell ref="A3:D3"/>
    <mergeCell ref="A4:S4"/>
    <mergeCell ref="A5:D5"/>
    <mergeCell ref="A6:D6"/>
    <mergeCell ref="A70:D7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28">
      <selection activeCell="A79" sqref="A79"/>
    </sheetView>
  </sheetViews>
  <sheetFormatPr defaultColWidth="9.140625" defaultRowHeight="15"/>
  <cols>
    <col min="1" max="1" width="70.421875" style="0" customWidth="1"/>
    <col min="2" max="2" width="12.421875" style="0" customWidth="1"/>
    <col min="3" max="5" width="12.7109375" style="0" bestFit="1" customWidth="1"/>
    <col min="6" max="6" width="16.7109375" style="0" customWidth="1"/>
  </cols>
  <sheetData>
    <row r="1" spans="1:19" ht="15">
      <c r="A1" s="1"/>
      <c r="B1" s="1"/>
      <c r="C1" s="1"/>
      <c r="D1" s="1"/>
      <c r="E1" s="47" t="s">
        <v>77</v>
      </c>
      <c r="F1" s="5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>
      <c r="A2" s="1"/>
      <c r="B2" s="1"/>
      <c r="C2" s="1"/>
      <c r="D2" s="1"/>
      <c r="E2" s="2"/>
      <c r="F2" s="3" t="s">
        <v>78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49" t="s">
        <v>79</v>
      </c>
      <c r="B3" s="49"/>
      <c r="C3" s="49"/>
      <c r="D3" s="49"/>
      <c r="E3" s="49"/>
      <c r="F3" s="4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>
      <c r="A4" s="50" t="s">
        <v>80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>
      <c r="A5" s="51" t="s">
        <v>4</v>
      </c>
      <c r="B5" s="51"/>
      <c r="C5" s="51"/>
      <c r="D5" s="51"/>
      <c r="E5" s="51"/>
      <c r="F5" s="5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49" t="s">
        <v>81</v>
      </c>
      <c r="B6" s="49"/>
      <c r="C6" s="49"/>
      <c r="D6" s="49"/>
      <c r="E6" s="49"/>
      <c r="F6" s="4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28"/>
      <c r="B7" s="28"/>
      <c r="C7" s="28"/>
      <c r="D7" s="28"/>
      <c r="E7" s="28"/>
      <c r="F7" s="2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5">
      <c r="A8" s="4"/>
      <c r="B8" s="4"/>
      <c r="C8" s="4"/>
      <c r="D8" s="4"/>
      <c r="E8" s="4"/>
      <c r="F8" s="5" t="s">
        <v>82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76.5">
      <c r="A9" s="6" t="s">
        <v>7</v>
      </c>
      <c r="B9" s="6" t="s">
        <v>8</v>
      </c>
      <c r="C9" s="6" t="s">
        <v>83</v>
      </c>
      <c r="D9" s="6" t="s">
        <v>84</v>
      </c>
      <c r="E9" s="6" t="s">
        <v>85</v>
      </c>
      <c r="F9" s="6" t="s">
        <v>86</v>
      </c>
      <c r="G9" s="29"/>
      <c r="H9" s="30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>
      <c r="A11" s="31" t="s">
        <v>87</v>
      </c>
      <c r="B11" s="32">
        <v>1</v>
      </c>
      <c r="C11" s="18">
        <f>C12+C13+C14+C15+C16+C17+C18</f>
        <v>642468</v>
      </c>
      <c r="D11" s="18">
        <f>D12+D13+D14+D15+D16+D17+D18</f>
        <v>1793457</v>
      </c>
      <c r="E11" s="18">
        <f>E12+E13+E14+E15+E16+E17+E18</f>
        <v>995581</v>
      </c>
      <c r="F11" s="18">
        <f>F12+F13+F14+F15+F16+F17+F18</f>
        <v>3084410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>
      <c r="A12" s="33" t="s">
        <v>20</v>
      </c>
      <c r="B12" s="34"/>
      <c r="C12" s="10"/>
      <c r="D12" s="10"/>
      <c r="E12" s="10"/>
      <c r="F12" s="10"/>
      <c r="G12" s="35"/>
      <c r="H12" s="1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>
      <c r="A13" s="33" t="s">
        <v>88</v>
      </c>
      <c r="B13" s="36"/>
      <c r="C13" s="10"/>
      <c r="D13" s="10"/>
      <c r="E13" s="10"/>
      <c r="F13" s="10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>
      <c r="A14" s="33" t="s">
        <v>89</v>
      </c>
      <c r="B14" s="34"/>
      <c r="C14" s="10"/>
      <c r="D14" s="10">
        <f>'[1]4-5 кл'!G25+'[1]4-5 кл'!G16</f>
        <v>0</v>
      </c>
      <c r="E14" s="10"/>
      <c r="F14" s="10">
        <f>E14</f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>
      <c r="A15" s="33" t="s">
        <v>90</v>
      </c>
      <c r="B15" s="34"/>
      <c r="C15" s="10">
        <f>'[1]4-5 кл'!$G$41+'[1]4-5 кл'!$G$52+'[1]4-5 кл'!$G$67-1150989</f>
        <v>642468</v>
      </c>
      <c r="D15" s="10">
        <f>'[1]4-5 кл'!$G$41+'[1]4-5 кл'!$G$52+'[1]4-5 кл'!$G$67</f>
        <v>1793457</v>
      </c>
      <c r="E15" s="10">
        <f>F15-2086855</f>
        <v>994670</v>
      </c>
      <c r="F15" s="10">
        <v>3081525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>
      <c r="A16" s="33" t="s">
        <v>91</v>
      </c>
      <c r="B16" s="34"/>
      <c r="C16" s="10"/>
      <c r="D16" s="10"/>
      <c r="E16" s="10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33" t="s">
        <v>92</v>
      </c>
      <c r="B17" s="34"/>
      <c r="C17" s="10">
        <f>'[1]4-5 кл'!$G$22+'[1]4-5 кл'!$G$84+'[1]4-5 кл'!$G$91+'[1]4-5 кл'!$G$92+'[1]4-5 кл'!$G$95+'[1]4-5 кл'!$G$96+'[1]4-5 кл'!$G$97</f>
        <v>0</v>
      </c>
      <c r="D17" s="10">
        <f>'[1]4-5 кл'!$G$22+'[1]4-5 кл'!$G$84+'[1]4-5 кл'!$G$91+'[1]4-5 кл'!$G$92+'[1]4-5 кл'!$G$95+'[1]4-5 кл'!$G$96+'[1]4-5 кл'!$G$97</f>
        <v>0</v>
      </c>
      <c r="E17" s="10">
        <f>F17-1974</f>
        <v>911</v>
      </c>
      <c r="F17" s="10">
        <v>2885</v>
      </c>
      <c r="G17" s="35"/>
      <c r="H17" s="1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>
      <c r="A18" s="33" t="s">
        <v>93</v>
      </c>
      <c r="B18" s="34"/>
      <c r="C18" s="10"/>
      <c r="D18" s="10">
        <f>'[1]4-5 кл'!G89</f>
        <v>0</v>
      </c>
      <c r="E18" s="10"/>
      <c r="F18" s="1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>
      <c r="A19" s="33" t="s">
        <v>94</v>
      </c>
      <c r="B19" s="34">
        <v>2</v>
      </c>
      <c r="C19" s="18">
        <f>'[1]4-5 кл'!$G90-'[1]4-5 кл'!$G91-'[1]4-5 кл'!$G92-'[1]4-5 кл'!$G95-'[1]4-5 кл'!$G96-'[1]4-5 кл'!$G97</f>
        <v>0</v>
      </c>
      <c r="D19" s="18">
        <f>'[1]4-5 кл'!$G90-'[1]4-5 кл'!$G91-'[1]4-5 кл'!$G92-'[1]4-5 кл'!$G95-'[1]4-5 кл'!$G96-'[1]4-5 кл'!$G97</f>
        <v>0</v>
      </c>
      <c r="E19" s="18"/>
      <c r="F19" s="18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>
      <c r="A20" s="33" t="s">
        <v>95</v>
      </c>
      <c r="B20" s="34">
        <v>3</v>
      </c>
      <c r="C20" s="18"/>
      <c r="D20" s="18"/>
      <c r="E20" s="18"/>
      <c r="F20" s="1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>
      <c r="A21" s="33" t="s">
        <v>20</v>
      </c>
      <c r="B21" s="34"/>
      <c r="C21" s="10"/>
      <c r="D21" s="10"/>
      <c r="E21" s="10"/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>
      <c r="A22" s="33" t="s">
        <v>96</v>
      </c>
      <c r="B22" s="34"/>
      <c r="C22" s="10"/>
      <c r="D22" s="10"/>
      <c r="E22" s="10"/>
      <c r="F22" s="10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>
      <c r="A23" s="33" t="s">
        <v>97</v>
      </c>
      <c r="B23" s="34"/>
      <c r="C23" s="10"/>
      <c r="D23" s="10"/>
      <c r="E23" s="10"/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25.5">
      <c r="A24" s="33" t="s">
        <v>98</v>
      </c>
      <c r="B24" s="34">
        <v>4</v>
      </c>
      <c r="C24" s="18"/>
      <c r="D24" s="18"/>
      <c r="E24" s="18"/>
      <c r="F24" s="1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>
      <c r="A25" s="33" t="s">
        <v>20</v>
      </c>
      <c r="B25" s="34"/>
      <c r="C25" s="10"/>
      <c r="D25" s="10"/>
      <c r="E25" s="10"/>
      <c r="F25" s="10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>
      <c r="A26" s="33" t="s">
        <v>99</v>
      </c>
      <c r="B26" s="34"/>
      <c r="C26" s="10"/>
      <c r="D26" s="10">
        <f>'[1]4-5 кл'!G111</f>
        <v>0</v>
      </c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>
      <c r="A27" s="33" t="s">
        <v>100</v>
      </c>
      <c r="B27" s="34"/>
      <c r="C27" s="10"/>
      <c r="D27" s="10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>
      <c r="A28" s="37" t="s">
        <v>101</v>
      </c>
      <c r="B28" s="34"/>
      <c r="C28" s="10"/>
      <c r="D28" s="10">
        <f>'[1]4-5 кл'!G118</f>
        <v>0</v>
      </c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>
      <c r="A29" s="33" t="s">
        <v>102</v>
      </c>
      <c r="B29" s="34"/>
      <c r="C29" s="10"/>
      <c r="D29" s="10">
        <f>'[1]4-5 кл'!G124</f>
        <v>0</v>
      </c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>
      <c r="A30" s="33" t="s">
        <v>103</v>
      </c>
      <c r="B30" s="34"/>
      <c r="C30" s="10"/>
      <c r="D30" s="10">
        <f>'[1]4-5 кл'!G122</f>
        <v>0</v>
      </c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25.5">
      <c r="A31" s="33" t="s">
        <v>104</v>
      </c>
      <c r="B31" s="34">
        <v>5</v>
      </c>
      <c r="C31" s="18">
        <f>'[1]4-5 кл'!$G110-172569</f>
        <v>69821</v>
      </c>
      <c r="D31" s="18">
        <f>'[1]4-5 кл'!$G110</f>
        <v>242390</v>
      </c>
      <c r="E31" s="18">
        <f>F31-193844</f>
        <v>45481</v>
      </c>
      <c r="F31" s="18">
        <v>239325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>
      <c r="A32" s="33" t="s">
        <v>105</v>
      </c>
      <c r="B32" s="34">
        <v>6</v>
      </c>
      <c r="C32" s="18">
        <f>C34+C35</f>
        <v>-18</v>
      </c>
      <c r="D32" s="18">
        <f>D34+D35</f>
        <v>-87</v>
      </c>
      <c r="E32" s="18">
        <f>E34+E35</f>
        <v>138339</v>
      </c>
      <c r="F32" s="18">
        <f>F34+F35</f>
        <v>139299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">
      <c r="A33" s="33" t="s">
        <v>106</v>
      </c>
      <c r="B33" s="34"/>
      <c r="C33" s="10"/>
      <c r="D33" s="10"/>
      <c r="E33" s="10"/>
      <c r="F33" s="1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33" t="s">
        <v>107</v>
      </c>
      <c r="B34" s="34"/>
      <c r="C34" s="10">
        <f>'[1]4-5 кл'!$G98-'[1]4-5 кл'!$C79+62</f>
        <v>-25</v>
      </c>
      <c r="D34" s="10">
        <f>'[1]4-5 кл'!$G98-'[1]4-5 кл'!$C79</f>
        <v>-87</v>
      </c>
      <c r="E34" s="10">
        <f>F34-1154-490</f>
        <v>138094</v>
      </c>
      <c r="F34" s="10">
        <v>139738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25.5">
      <c r="A35" s="33" t="s">
        <v>108</v>
      </c>
      <c r="B35" s="34"/>
      <c r="C35" s="10">
        <f>'[1]4-5 кл'!G130-'[1]4-5 кл'!C102+7</f>
        <v>7</v>
      </c>
      <c r="D35" s="10">
        <f>'[1]4-5 кл'!G130-'[1]4-5 кл'!C102</f>
        <v>0</v>
      </c>
      <c r="E35" s="10">
        <v>245</v>
      </c>
      <c r="F35" s="10">
        <v>-439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37" t="s">
        <v>109</v>
      </c>
      <c r="B36" s="34">
        <v>7</v>
      </c>
      <c r="C36" s="10">
        <f>('[1]4-5 кл'!$G126+'[1]4-5 кл'!$G128+'[1]4-5 кл'!$G129)-('[1]4-5 кл'!$C98+'[1]4-5 кл'!$C99+'[1]4-5 кл'!C100+'[1]4-5 кл'!$C101)+2666</f>
        <v>3187</v>
      </c>
      <c r="D36" s="10">
        <f>('[1]4-5 кл'!$G126+'[1]4-5 кл'!$G128+'[1]4-5 кл'!$G129)-('[1]4-5 кл'!$C98+'[1]4-5 кл'!$C99+'[1]4-5 кл'!C100+'[1]4-5 кл'!$C101)</f>
        <v>521</v>
      </c>
      <c r="E36" s="10">
        <f>F36+37077</f>
        <v>-14223</v>
      </c>
      <c r="F36" s="10">
        <v>-51300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5">
      <c r="A37" s="37" t="s">
        <v>110</v>
      </c>
      <c r="B37" s="34">
        <v>8</v>
      </c>
      <c r="C37" s="10"/>
      <c r="D37" s="10"/>
      <c r="E37" s="10"/>
      <c r="F37" s="10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5">
      <c r="A38" s="37" t="s">
        <v>111</v>
      </c>
      <c r="B38" s="34">
        <v>9</v>
      </c>
      <c r="C38" s="10"/>
      <c r="D38" s="10"/>
      <c r="E38" s="10"/>
      <c r="F38" s="10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5">
      <c r="A39" s="37" t="s">
        <v>112</v>
      </c>
      <c r="B39" s="34">
        <v>10</v>
      </c>
      <c r="C39" s="10">
        <f>'[1]4-5 кл'!G140-362486</f>
        <v>432422</v>
      </c>
      <c r="D39" s="10">
        <f>'[1]4-5 кл'!G140</f>
        <v>794908</v>
      </c>
      <c r="E39" s="10">
        <f>F39-547380</f>
        <v>193365</v>
      </c>
      <c r="F39" s="10">
        <v>740745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5">
      <c r="A40" s="33" t="s">
        <v>113</v>
      </c>
      <c r="B40" s="34">
        <v>11</v>
      </c>
      <c r="C40" s="10">
        <f>'[1]4-5 кл'!G155+'[1]4-5 кл'!G157+'[1]4-5 кл'!G158+'[1]4-5 кл'!G148-161934</f>
        <v>86302</v>
      </c>
      <c r="D40" s="10">
        <f>'[1]4-5 кл'!G155+'[1]4-5 кл'!G157+'[1]4-5 кл'!G158+'[1]4-5 кл'!G148</f>
        <v>248236</v>
      </c>
      <c r="E40" s="10">
        <f>F40-202812</f>
        <v>101874</v>
      </c>
      <c r="F40" s="10">
        <v>304686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5">
      <c r="A41" s="38" t="s">
        <v>114</v>
      </c>
      <c r="B41" s="34">
        <v>12</v>
      </c>
      <c r="C41" s="18">
        <f>C11+C19+C20+C24+C31+C32+C36+C37+C38+C39+C40</f>
        <v>1234182</v>
      </c>
      <c r="D41" s="18">
        <f>D11+D19+D20+D24+D31+D32+D36+D37+D38+D39+D40</f>
        <v>3079425</v>
      </c>
      <c r="E41" s="18">
        <f>E11+E31+E32+E36+E39+E40</f>
        <v>1460417</v>
      </c>
      <c r="F41" s="18">
        <f>F11+F19+F20+F24+F31+F32+F36+F37+F38+F39+F40</f>
        <v>4457165</v>
      </c>
      <c r="G41" s="1"/>
      <c r="H41" s="1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5">
      <c r="A42" s="38"/>
      <c r="B42" s="34"/>
      <c r="C42" s="10"/>
      <c r="D42" s="10"/>
      <c r="E42" s="10"/>
      <c r="F42" s="1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">
      <c r="A43" s="33" t="s">
        <v>115</v>
      </c>
      <c r="B43" s="34">
        <v>13</v>
      </c>
      <c r="C43" s="18">
        <f>C45+C46+C47+C48+C49</f>
        <v>428396</v>
      </c>
      <c r="D43" s="18">
        <f>D45+D46+D47+D48+D49</f>
        <v>1303238</v>
      </c>
      <c r="E43" s="18">
        <f>E45+E46+E47+E48</f>
        <v>724359</v>
      </c>
      <c r="F43" s="18">
        <f>F46+F48</f>
        <v>2272063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">
      <c r="A44" s="33" t="s">
        <v>20</v>
      </c>
      <c r="B44" s="34"/>
      <c r="C44" s="10"/>
      <c r="D44" s="10"/>
      <c r="E44" s="10"/>
      <c r="F44" s="10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">
      <c r="A45" s="33" t="s">
        <v>116</v>
      </c>
      <c r="B45" s="39"/>
      <c r="C45" s="10"/>
      <c r="D45" s="10">
        <f>'[1]4-5 кл'!C53</f>
        <v>0</v>
      </c>
      <c r="E45" s="10"/>
      <c r="F45" s="10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5">
      <c r="A46" s="33" t="s">
        <v>117</v>
      </c>
      <c r="B46" s="39"/>
      <c r="C46" s="10">
        <f>'[1]4-5 кл'!C12+'[1]4-5 кл'!C17+'[1]4-5 кл'!C22+'[1]4-5 кл'!C32+'[1]4-5 кл'!C45-585192</f>
        <v>296352</v>
      </c>
      <c r="D46" s="10">
        <f>'[1]4-5 кл'!C12+'[1]4-5 кл'!C17+'[1]4-5 кл'!C22+'[1]4-5 кл'!C32+'[1]4-5 кл'!C45</f>
        <v>881544</v>
      </c>
      <c r="E46" s="10">
        <f>F46-1032929</f>
        <v>518999</v>
      </c>
      <c r="F46" s="10">
        <v>1551928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5">
      <c r="A47" s="31" t="s">
        <v>118</v>
      </c>
      <c r="B47" s="32"/>
      <c r="C47" s="10"/>
      <c r="D47" s="10"/>
      <c r="E47" s="10"/>
      <c r="F47" s="10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5">
      <c r="A48" s="33" t="s">
        <v>119</v>
      </c>
      <c r="B48" s="34"/>
      <c r="C48" s="10">
        <f>'[1]4-5 кл'!C55-289650</f>
        <v>132044</v>
      </c>
      <c r="D48" s="10">
        <f>'[1]4-5 кл'!C55</f>
        <v>421694</v>
      </c>
      <c r="E48" s="10">
        <f>F48-514775</f>
        <v>205360</v>
      </c>
      <c r="F48" s="10">
        <v>720135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>
      <c r="A49" s="33" t="s">
        <v>120</v>
      </c>
      <c r="B49" s="34"/>
      <c r="C49" s="10"/>
      <c r="D49" s="10">
        <f>'[1]4-5 кл'!C54</f>
        <v>0</v>
      </c>
      <c r="E49" s="10"/>
      <c r="F49" s="10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5">
      <c r="A50" s="31" t="s">
        <v>121</v>
      </c>
      <c r="B50" s="40">
        <v>14</v>
      </c>
      <c r="C50" s="18"/>
      <c r="D50" s="18">
        <f>'[1]4-5 кл'!C42+'[1]4-5 кл'!C62</f>
        <v>0</v>
      </c>
      <c r="E50" s="18"/>
      <c r="F50" s="18">
        <f>E50</f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5">
      <c r="A51" s="31" t="s">
        <v>122</v>
      </c>
      <c r="B51" s="7">
        <v>15</v>
      </c>
      <c r="C51" s="18">
        <f>'[1]4-5 кл'!C91-25147</f>
        <v>10017</v>
      </c>
      <c r="D51" s="18">
        <f>'[1]4-5 кл'!C91</f>
        <v>35164</v>
      </c>
      <c r="E51" s="18">
        <f>F51-34510</f>
        <v>15828</v>
      </c>
      <c r="F51" s="18">
        <v>50338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>
      <c r="A52" s="31" t="s">
        <v>20</v>
      </c>
      <c r="B52" s="7"/>
      <c r="C52" s="10"/>
      <c r="D52" s="10"/>
      <c r="E52" s="10"/>
      <c r="F52" s="10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5">
      <c r="A53" s="31" t="s">
        <v>123</v>
      </c>
      <c r="B53" s="7"/>
      <c r="C53" s="10"/>
      <c r="D53" s="10"/>
      <c r="E53" s="10"/>
      <c r="F53" s="10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31" t="s">
        <v>124</v>
      </c>
      <c r="B54" s="7"/>
      <c r="C54" s="10"/>
      <c r="D54" s="10"/>
      <c r="E54" s="10"/>
      <c r="F54" s="10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25.5">
      <c r="A55" s="31" t="s">
        <v>125</v>
      </c>
      <c r="B55" s="7">
        <v>16</v>
      </c>
      <c r="C55" s="18"/>
      <c r="D55" s="18"/>
      <c r="E55" s="18"/>
      <c r="F55" s="18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31" t="s">
        <v>20</v>
      </c>
      <c r="B56" s="30"/>
      <c r="C56" s="10"/>
      <c r="D56" s="10"/>
      <c r="E56" s="10"/>
      <c r="F56" s="10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31" t="s">
        <v>126</v>
      </c>
      <c r="B57" s="7"/>
      <c r="C57" s="10"/>
      <c r="D57" s="10"/>
      <c r="E57" s="10"/>
      <c r="F57" s="1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31" t="s">
        <v>127</v>
      </c>
      <c r="B58" s="7"/>
      <c r="C58" s="10"/>
      <c r="D58" s="10"/>
      <c r="E58" s="10"/>
      <c r="F58" s="10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31" t="s">
        <v>128</v>
      </c>
      <c r="B59" s="7"/>
      <c r="C59" s="10"/>
      <c r="D59" s="10"/>
      <c r="E59" s="10"/>
      <c r="F59" s="10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31" t="s">
        <v>129</v>
      </c>
      <c r="B60" s="7"/>
      <c r="C60" s="10"/>
      <c r="D60" s="10"/>
      <c r="E60" s="10"/>
      <c r="F60" s="10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31" t="s">
        <v>130</v>
      </c>
      <c r="B61" s="7"/>
      <c r="C61" s="10"/>
      <c r="D61" s="10"/>
      <c r="E61" s="10"/>
      <c r="F61" s="10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5">
      <c r="A62" s="31" t="s">
        <v>131</v>
      </c>
      <c r="B62" s="7">
        <v>17</v>
      </c>
      <c r="C62" s="18">
        <f>C64+C65+C66+C67</f>
        <v>254183</v>
      </c>
      <c r="D62" s="18">
        <f>D64+D65+D66+D67</f>
        <v>858391</v>
      </c>
      <c r="E62" s="18">
        <f>E64+E65+E66+E67</f>
        <v>318608</v>
      </c>
      <c r="F62" s="18">
        <f>F64+F65+F66+F67</f>
        <v>923397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31" t="s">
        <v>20</v>
      </c>
      <c r="B63" s="7"/>
      <c r="C63" s="10"/>
      <c r="D63" s="10"/>
      <c r="E63" s="10"/>
      <c r="F63" s="10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31" t="s">
        <v>132</v>
      </c>
      <c r="B64" s="7"/>
      <c r="C64" s="10">
        <f>'[1]4-5 кл'!C108+'[1]4-5 кл'!C126-428213</f>
        <v>179523</v>
      </c>
      <c r="D64" s="10">
        <f>'[1]4-5 кл'!C108+'[1]4-5 кл'!C126</f>
        <v>607736</v>
      </c>
      <c r="E64" s="10">
        <f>F64-425521</f>
        <v>231077</v>
      </c>
      <c r="F64" s="10">
        <v>656598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5">
      <c r="A65" s="31" t="s">
        <v>133</v>
      </c>
      <c r="B65" s="7"/>
      <c r="C65" s="10">
        <f>'[1]4-5 кл'!C138-27217</f>
        <v>12789</v>
      </c>
      <c r="D65" s="10">
        <f>'[1]4-5 кл'!C138</f>
        <v>40006</v>
      </c>
      <c r="E65" s="10">
        <f>F65-27813</f>
        <v>14194</v>
      </c>
      <c r="F65" s="10">
        <v>42007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5">
      <c r="A66" s="31" t="s">
        <v>134</v>
      </c>
      <c r="B66" s="7"/>
      <c r="C66" s="10">
        <f>'[1]4-5 кл'!C117-'[1]4-5 кл'!C126-84422</f>
        <v>38602</v>
      </c>
      <c r="D66" s="10">
        <f>'[1]4-5 кл'!C117-'[1]4-5 кл'!C126</f>
        <v>123024</v>
      </c>
      <c r="E66" s="10">
        <f>F66-93175</f>
        <v>39113</v>
      </c>
      <c r="F66" s="10">
        <v>132288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25.5">
      <c r="A67" s="31" t="s">
        <v>135</v>
      </c>
      <c r="B67" s="7"/>
      <c r="C67" s="10">
        <f>'[1]4-5 кл'!C130-64356</f>
        <v>23269</v>
      </c>
      <c r="D67" s="10">
        <f>'[1]4-5 кл'!C130</f>
        <v>87625</v>
      </c>
      <c r="E67" s="10">
        <f>F67-58280</f>
        <v>34224</v>
      </c>
      <c r="F67" s="10">
        <v>92504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5">
      <c r="A68" s="31" t="s">
        <v>136</v>
      </c>
      <c r="B68" s="7">
        <v>18</v>
      </c>
      <c r="C68" s="10">
        <f>'[1]4-5 кл'!C147-299278</f>
        <v>389741</v>
      </c>
      <c r="D68" s="10">
        <f>'[1]4-5 кл'!C147</f>
        <v>689019</v>
      </c>
      <c r="E68" s="10">
        <f>F68-497788</f>
        <v>166847</v>
      </c>
      <c r="F68" s="10">
        <v>664635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5">
      <c r="A69" s="31" t="s">
        <v>137</v>
      </c>
      <c r="B69" s="7">
        <v>20</v>
      </c>
      <c r="C69" s="10">
        <f>'[1]4-5 кл'!C163+'[1]4-5 кл'!C164-210005</f>
        <v>86830</v>
      </c>
      <c r="D69" s="10">
        <f>'[1]4-5 кл'!C163+'[1]4-5 кл'!C164</f>
        <v>296835</v>
      </c>
      <c r="E69" s="10">
        <f>F69-251064</f>
        <v>101885</v>
      </c>
      <c r="F69" s="10">
        <v>352949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5">
      <c r="A70" s="41" t="s">
        <v>138</v>
      </c>
      <c r="B70" s="7">
        <v>21</v>
      </c>
      <c r="C70" s="18">
        <f>C43+C50+C51+C55+C62+C68+C69</f>
        <v>1169167</v>
      </c>
      <c r="D70" s="18">
        <f>D43+D50+D51+D55+D62+D68+D69</f>
        <v>3182647</v>
      </c>
      <c r="E70" s="18">
        <f>E43+E51+E62+E68+E69</f>
        <v>1327527</v>
      </c>
      <c r="F70" s="18">
        <f>F43+F51+F62+F68+F69</f>
        <v>4263382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5">
      <c r="A71" s="31" t="s">
        <v>139</v>
      </c>
      <c r="B71" s="42" t="s">
        <v>140</v>
      </c>
      <c r="C71" s="10">
        <f>C41-C70</f>
        <v>65015</v>
      </c>
      <c r="D71" s="10">
        <f>D41-D70</f>
        <v>-103222</v>
      </c>
      <c r="E71" s="10">
        <f>E41-E70</f>
        <v>132890</v>
      </c>
      <c r="F71" s="10">
        <f>F41-F70</f>
        <v>193783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38.25">
      <c r="A72" s="43" t="s">
        <v>141</v>
      </c>
      <c r="B72" s="42" t="s">
        <v>142</v>
      </c>
      <c r="C72" s="10">
        <f>-('[1]4-5 кл'!G165+'[1]4-5 кл'!G164-'[1]4-5 кл'!C72)+'[1]4-5 кл'!C75+'[1]4-5 кл'!C71+673898</f>
        <v>-101503</v>
      </c>
      <c r="D72" s="10">
        <f>-('[1]4-5 кл'!G165+'[1]4-5 кл'!G164-'[1]4-5 кл'!C72)+'[1]4-5 кл'!C75+'[1]4-5 кл'!C71</f>
        <v>-775401</v>
      </c>
      <c r="E72" s="10">
        <f>F72+483335</f>
        <v>-253499</v>
      </c>
      <c r="F72" s="10">
        <v>-736834</v>
      </c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5">
      <c r="A73" s="31"/>
      <c r="B73" s="42"/>
      <c r="C73" s="10"/>
      <c r="D73" s="10"/>
      <c r="E73" s="10"/>
      <c r="F73" s="10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5">
      <c r="A74" s="44" t="s">
        <v>143</v>
      </c>
      <c r="B74" s="7">
        <v>22</v>
      </c>
      <c r="C74" s="18">
        <f>C71-C72</f>
        <v>166518</v>
      </c>
      <c r="D74" s="18">
        <f>D71-D72</f>
        <v>672179</v>
      </c>
      <c r="E74" s="18">
        <f>E71-E72</f>
        <v>386389</v>
      </c>
      <c r="F74" s="18">
        <f>F71-F72</f>
        <v>930617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5">
      <c r="A75" s="31"/>
      <c r="B75" s="7"/>
      <c r="C75" s="10"/>
      <c r="D75" s="10"/>
      <c r="E75" s="10"/>
      <c r="F75" s="10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5">
      <c r="A76" s="31" t="s">
        <v>144</v>
      </c>
      <c r="B76" s="7">
        <v>23</v>
      </c>
      <c r="C76" s="10">
        <f>'[1]4-5 кл'!C171-221409</f>
        <v>37558</v>
      </c>
      <c r="D76" s="10">
        <f>'[1]4-5 кл'!C171</f>
        <v>258967</v>
      </c>
      <c r="E76" s="10">
        <v>119404</v>
      </c>
      <c r="F76" s="10">
        <v>295419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5">
      <c r="A77" s="31"/>
      <c r="B77" s="7"/>
      <c r="C77" s="10"/>
      <c r="D77" s="10"/>
      <c r="E77" s="10"/>
      <c r="F77" s="10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5">
      <c r="A78" s="41" t="s">
        <v>145</v>
      </c>
      <c r="B78" s="9">
        <v>24</v>
      </c>
      <c r="C78" s="18">
        <f>C74-C76</f>
        <v>128960</v>
      </c>
      <c r="D78" s="18">
        <f>D74-D76</f>
        <v>413212</v>
      </c>
      <c r="E78" s="18">
        <f>E74-E76</f>
        <v>266985</v>
      </c>
      <c r="F78" s="18">
        <f>F74-F76</f>
        <v>635198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5">
      <c r="A79" s="31" t="s">
        <v>146</v>
      </c>
      <c r="B79" s="7">
        <v>25</v>
      </c>
      <c r="C79" s="18"/>
      <c r="D79" s="18"/>
      <c r="E79" s="18"/>
      <c r="F79" s="18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31"/>
      <c r="B80" s="7"/>
      <c r="C80" s="10"/>
      <c r="D80" s="10"/>
      <c r="E80" s="10"/>
      <c r="F80" s="10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31" t="s">
        <v>66</v>
      </c>
      <c r="B81" s="7">
        <v>26</v>
      </c>
      <c r="C81" s="18"/>
      <c r="D81" s="18"/>
      <c r="E81" s="18"/>
      <c r="F81" s="18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31"/>
      <c r="B82" s="7"/>
      <c r="C82" s="10"/>
      <c r="D82" s="10"/>
      <c r="E82" s="10"/>
      <c r="F82" s="10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41" t="s">
        <v>147</v>
      </c>
      <c r="B83" s="9">
        <v>27</v>
      </c>
      <c r="C83" s="18">
        <f>C78+C79-C81</f>
        <v>128960</v>
      </c>
      <c r="D83" s="18">
        <f>D78+D79-D81</f>
        <v>413212</v>
      </c>
      <c r="E83" s="18">
        <f>E78+E79-E81</f>
        <v>266985</v>
      </c>
      <c r="F83" s="18">
        <f>F78+F79-F81</f>
        <v>635198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1"/>
      <c r="B84" s="1"/>
      <c r="C84" s="1"/>
      <c r="D84" s="1" t="b">
        <f>D83=('[1]4-5 кл'!G171-'[1]4-5 кл'!C172)</f>
        <v>1</v>
      </c>
      <c r="E84" s="45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54" t="s">
        <v>148</v>
      </c>
      <c r="B85" s="54"/>
      <c r="C85" s="54"/>
      <c r="D85" s="54"/>
      <c r="E85" s="54"/>
      <c r="F85" s="5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"/>
      <c r="B86" s="1"/>
      <c r="C86" s="45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5">
      <c r="A87" s="1"/>
      <c r="B87" s="1"/>
      <c r="C87" s="19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5">
      <c r="A88" s="26" t="s">
        <v>71</v>
      </c>
      <c r="B88" s="1" t="s">
        <v>72</v>
      </c>
      <c r="C88" s="19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5">
      <c r="A89" s="26"/>
      <c r="B89" s="1"/>
      <c r="C89" s="19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5">
      <c r="A90" s="27" t="s">
        <v>73</v>
      </c>
      <c r="B90" s="1" t="s">
        <v>72</v>
      </c>
      <c r="C90" s="19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5">
      <c r="A91" s="2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5">
      <c r="A92" s="26" t="s">
        <v>74</v>
      </c>
      <c r="B92" s="1" t="s">
        <v>72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5">
      <c r="A93" s="2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5">
      <c r="A94" s="1" t="s">
        <v>149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5">
      <c r="A96" s="26" t="s">
        <v>76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</sheetData>
  <sheetProtection/>
  <mergeCells count="6">
    <mergeCell ref="E1:F1"/>
    <mergeCell ref="A3:F3"/>
    <mergeCell ref="A4:S4"/>
    <mergeCell ref="A5:F5"/>
    <mergeCell ref="A6:F6"/>
    <mergeCell ref="A85:F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J90"/>
  <sheetViews>
    <sheetView tabSelected="1" zoomScalePageLayoutView="0" workbookViewId="0" topLeftCell="A22">
      <selection activeCell="B80" sqref="B80"/>
    </sheetView>
  </sheetViews>
  <sheetFormatPr defaultColWidth="8.8515625" defaultRowHeight="15"/>
  <cols>
    <col min="1" max="1" width="3.00390625" style="82" customWidth="1"/>
    <col min="2" max="2" width="53.28125" style="82" customWidth="1"/>
    <col min="3" max="3" width="10.7109375" style="82" customWidth="1"/>
    <col min="4" max="4" width="16.8515625" style="82" customWidth="1"/>
    <col min="5" max="5" width="19.7109375" style="82" customWidth="1"/>
    <col min="6" max="16384" width="8.8515625" style="82" customWidth="1"/>
  </cols>
  <sheetData>
    <row r="1" ht="11.25">
      <c r="E1" s="83" t="s">
        <v>184</v>
      </c>
    </row>
    <row r="5" spans="2:3" ht="12">
      <c r="B5" s="84" t="s">
        <v>185</v>
      </c>
      <c r="C5" s="84"/>
    </row>
    <row r="6" spans="2:3" ht="12">
      <c r="B6" s="85" t="s">
        <v>186</v>
      </c>
      <c r="C6" s="85"/>
    </row>
    <row r="7" spans="2:3" ht="12">
      <c r="B7" s="85" t="s">
        <v>187</v>
      </c>
      <c r="C7" s="85"/>
    </row>
    <row r="8" ht="11.25">
      <c r="B8" s="82" t="s">
        <v>188</v>
      </c>
    </row>
    <row r="9" spans="2:3" ht="11.25">
      <c r="B9" s="86" t="s">
        <v>189</v>
      </c>
      <c r="C9" s="86"/>
    </row>
    <row r="10" ht="11.25">
      <c r="B10" s="82" t="s">
        <v>190</v>
      </c>
    </row>
    <row r="11" spans="2:5" ht="12">
      <c r="B11" s="87" t="s">
        <v>191</v>
      </c>
      <c r="C11" s="87" t="s">
        <v>8</v>
      </c>
      <c r="D11" s="87" t="s">
        <v>83</v>
      </c>
      <c r="E11" s="88" t="s">
        <v>192</v>
      </c>
    </row>
    <row r="12" spans="2:5" ht="11.25">
      <c r="B12" s="89" t="s">
        <v>193</v>
      </c>
      <c r="C12" s="90"/>
      <c r="D12" s="90"/>
      <c r="E12" s="91"/>
    </row>
    <row r="13" spans="2:5" ht="15" customHeight="1">
      <c r="B13" s="92" t="s">
        <v>194</v>
      </c>
      <c r="C13" s="93" t="s">
        <v>195</v>
      </c>
      <c r="D13" s="94">
        <f>SUM(D15:D20)</f>
        <v>3986747.36129</v>
      </c>
      <c r="E13" s="94">
        <f>SUM(E15:E20)</f>
        <v>6558776.341600002</v>
      </c>
    </row>
    <row r="14" spans="2:5" ht="15" customHeight="1">
      <c r="B14" s="92" t="s">
        <v>20</v>
      </c>
      <c r="C14" s="93"/>
      <c r="D14" s="95"/>
      <c r="E14" s="96"/>
    </row>
    <row r="15" spans="2:5" ht="12">
      <c r="B15" s="97" t="s">
        <v>196</v>
      </c>
      <c r="C15" s="93" t="s">
        <v>197</v>
      </c>
      <c r="D15" s="98">
        <f>'[2]Лист2'!$D$22</f>
        <v>3983667.14467</v>
      </c>
      <c r="E15" s="98">
        <f>'[2]Лист2'!$E$22</f>
        <v>6556747.185410002</v>
      </c>
    </row>
    <row r="16" spans="2:5" ht="12">
      <c r="B16" s="99" t="s">
        <v>198</v>
      </c>
      <c r="C16" s="93" t="s">
        <v>199</v>
      </c>
      <c r="D16" s="100"/>
      <c r="E16" s="101"/>
    </row>
    <row r="17" spans="2:5" ht="12">
      <c r="B17" s="99" t="s">
        <v>200</v>
      </c>
      <c r="C17" s="93" t="s">
        <v>201</v>
      </c>
      <c r="D17" s="100"/>
      <c r="E17" s="101"/>
    </row>
    <row r="18" spans="2:5" ht="12">
      <c r="B18" s="99" t="s">
        <v>202</v>
      </c>
      <c r="C18" s="93" t="s">
        <v>203</v>
      </c>
      <c r="D18" s="101"/>
      <c r="E18" s="101"/>
    </row>
    <row r="19" spans="2:5" ht="12">
      <c r="B19" s="99" t="s">
        <v>204</v>
      </c>
      <c r="C19" s="93" t="s">
        <v>205</v>
      </c>
      <c r="D19" s="101"/>
      <c r="E19" s="101"/>
    </row>
    <row r="20" spans="2:5" ht="12">
      <c r="B20" s="99" t="s">
        <v>206</v>
      </c>
      <c r="C20" s="93" t="s">
        <v>207</v>
      </c>
      <c r="D20" s="98">
        <f>'[2]Лист2'!$D$27</f>
        <v>3080.21662</v>
      </c>
      <c r="E20" s="98">
        <f>'[2]Лист2'!$E$27</f>
        <v>2029.15619</v>
      </c>
    </row>
    <row r="21" spans="2:5" ht="17.25" customHeight="1">
      <c r="B21" s="92" t="s">
        <v>208</v>
      </c>
      <c r="C21" s="93" t="s">
        <v>209</v>
      </c>
      <c r="D21" s="102">
        <f>SUM(D23:D29)</f>
        <v>2232581.75593</v>
      </c>
      <c r="E21" s="102">
        <f>SUM(E23:E29)</f>
        <v>5395572.49948</v>
      </c>
    </row>
    <row r="22" spans="2:5" ht="17.25" customHeight="1">
      <c r="B22" s="92" t="s">
        <v>20</v>
      </c>
      <c r="C22" s="93"/>
      <c r="D22" s="95"/>
      <c r="E22" s="96"/>
    </row>
    <row r="23" spans="2:5" ht="12">
      <c r="B23" s="97" t="s">
        <v>210</v>
      </c>
      <c r="C23" s="93" t="s">
        <v>211</v>
      </c>
      <c r="D23" s="98">
        <f>'[2]Лист2'!$D$30</f>
        <v>411253.1168</v>
      </c>
      <c r="E23" s="98">
        <f>'[2]Лист2'!$E$30</f>
        <v>449838.46589000005</v>
      </c>
    </row>
    <row r="24" spans="2:5" ht="12">
      <c r="B24" s="99" t="s">
        <v>212</v>
      </c>
      <c r="C24" s="93" t="s">
        <v>213</v>
      </c>
      <c r="D24" s="100"/>
      <c r="E24" s="101"/>
    </row>
    <row r="25" spans="2:5" ht="12">
      <c r="B25" s="99" t="s">
        <v>214</v>
      </c>
      <c r="C25" s="93" t="s">
        <v>215</v>
      </c>
      <c r="D25" s="98">
        <f>'[2]Лист2'!$D$32</f>
        <v>439728.06928</v>
      </c>
      <c r="E25" s="98">
        <f>'[2]Лист2'!$E$32</f>
        <v>458057.31187</v>
      </c>
    </row>
    <row r="26" spans="2:5" ht="12">
      <c r="B26" s="99" t="s">
        <v>216</v>
      </c>
      <c r="C26" s="93" t="s">
        <v>217</v>
      </c>
      <c r="D26" s="100"/>
      <c r="E26" s="101"/>
    </row>
    <row r="27" spans="2:5" ht="12">
      <c r="B27" s="99" t="s">
        <v>218</v>
      </c>
      <c r="C27" s="93" t="s">
        <v>219</v>
      </c>
      <c r="D27" s="100"/>
      <c r="E27" s="101"/>
    </row>
    <row r="28" spans="2:5" ht="12">
      <c r="B28" s="99" t="s">
        <v>220</v>
      </c>
      <c r="C28" s="93" t="s">
        <v>221</v>
      </c>
      <c r="D28" s="98">
        <f>'[2]Лист2'!$D$35</f>
        <v>671778.3307700001</v>
      </c>
      <c r="E28" s="98">
        <f>'[2]Лист2'!$E$35</f>
        <v>670036.2402799999</v>
      </c>
    </row>
    <row r="29" spans="2:5" ht="12">
      <c r="B29" s="99" t="s">
        <v>222</v>
      </c>
      <c r="C29" s="93" t="s">
        <v>223</v>
      </c>
      <c r="D29" s="98">
        <f>'[2]Лист2'!$D$36</f>
        <v>709822.2390799997</v>
      </c>
      <c r="E29" s="98">
        <f>'[2]Лист2'!$E$36</f>
        <v>3817640.4814400002</v>
      </c>
    </row>
    <row r="30" spans="2:5" ht="24" customHeight="1">
      <c r="B30" s="103" t="s">
        <v>224</v>
      </c>
      <c r="C30" s="93" t="s">
        <v>225</v>
      </c>
      <c r="D30" s="94">
        <f>D13-D21</f>
        <v>1754165.60536</v>
      </c>
      <c r="E30" s="94">
        <f>E13-E21</f>
        <v>1163203.842120002</v>
      </c>
    </row>
    <row r="31" ht="12">
      <c r="C31" s="93"/>
    </row>
    <row r="32" spans="2:5" ht="11.25">
      <c r="B32" s="89" t="s">
        <v>226</v>
      </c>
      <c r="C32" s="90"/>
      <c r="D32" s="90"/>
      <c r="E32" s="91"/>
    </row>
    <row r="33" spans="2:5" s="104" customFormat="1" ht="12">
      <c r="B33" s="92" t="s">
        <v>227</v>
      </c>
      <c r="C33" s="93" t="s">
        <v>228</v>
      </c>
      <c r="D33" s="94">
        <f>SUM(D35:D45)</f>
        <v>794908.40882</v>
      </c>
      <c r="E33" s="94">
        <f>SUM(E35:E45)</f>
        <v>869853.39732</v>
      </c>
    </row>
    <row r="34" spans="2:5" ht="12">
      <c r="B34" s="99" t="s">
        <v>20</v>
      </c>
      <c r="C34" s="93"/>
      <c r="D34" s="105"/>
      <c r="E34" s="106"/>
    </row>
    <row r="35" spans="2:5" ht="12">
      <c r="B35" s="99" t="s">
        <v>229</v>
      </c>
      <c r="C35" s="93" t="s">
        <v>230</v>
      </c>
      <c r="D35" s="107">
        <f>'[2]Лист2'!$D$42</f>
        <v>1456.12858</v>
      </c>
      <c r="E35" s="107">
        <f>'[2]Лист2'!$E$42</f>
        <v>138.70718</v>
      </c>
    </row>
    <row r="36" spans="2:5" ht="12">
      <c r="B36" s="99" t="s">
        <v>231</v>
      </c>
      <c r="C36" s="93" t="s">
        <v>232</v>
      </c>
      <c r="D36" s="108"/>
      <c r="E36" s="109"/>
    </row>
    <row r="37" spans="2:5" ht="12">
      <c r="B37" s="99" t="s">
        <v>233</v>
      </c>
      <c r="C37" s="93" t="s">
        <v>234</v>
      </c>
      <c r="D37" s="107">
        <f>'[2]Лист2'!$D$44</f>
        <v>793452.28024</v>
      </c>
      <c r="E37" s="107">
        <f>'[2]Лист2'!$E$44</f>
        <v>740606.1004</v>
      </c>
    </row>
    <row r="38" spans="2:5" ht="24">
      <c r="B38" s="97" t="s">
        <v>235</v>
      </c>
      <c r="C38" s="93" t="s">
        <v>236</v>
      </c>
      <c r="D38" s="108"/>
      <c r="E38" s="109"/>
    </row>
    <row r="39" spans="2:10" ht="12">
      <c r="B39" s="97" t="s">
        <v>237</v>
      </c>
      <c r="C39" s="93" t="s">
        <v>238</v>
      </c>
      <c r="D39" s="108"/>
      <c r="E39" s="109"/>
      <c r="I39" s="110"/>
      <c r="J39" s="110"/>
    </row>
    <row r="40" spans="2:10" ht="12">
      <c r="B40" s="97" t="s">
        <v>239</v>
      </c>
      <c r="C40" s="93" t="s">
        <v>240</v>
      </c>
      <c r="D40" s="108"/>
      <c r="E40" s="109"/>
      <c r="I40" s="111"/>
      <c r="J40" s="110"/>
    </row>
    <row r="41" spans="2:10" ht="12">
      <c r="B41" s="99" t="s">
        <v>241</v>
      </c>
      <c r="C41" s="93" t="s">
        <v>242</v>
      </c>
      <c r="D41" s="107">
        <v>0</v>
      </c>
      <c r="E41" s="107">
        <f>'[2]Лист2'!$E$48</f>
        <v>35531.488</v>
      </c>
      <c r="I41" s="112"/>
      <c r="J41" s="110"/>
    </row>
    <row r="42" spans="2:10" ht="12">
      <c r="B42" s="99" t="s">
        <v>243</v>
      </c>
      <c r="C42" s="93" t="s">
        <v>244</v>
      </c>
      <c r="D42" s="107">
        <v>0</v>
      </c>
      <c r="E42" s="107">
        <f>'[2]Лист2'!$E$49</f>
        <v>92030.62697</v>
      </c>
      <c r="I42" s="112"/>
      <c r="J42" s="110"/>
    </row>
    <row r="43" spans="2:10" ht="12">
      <c r="B43" s="99" t="s">
        <v>245</v>
      </c>
      <c r="C43" s="93" t="s">
        <v>246</v>
      </c>
      <c r="D43" s="109"/>
      <c r="E43" s="109"/>
      <c r="I43" s="111"/>
      <c r="J43" s="110"/>
    </row>
    <row r="44" spans="2:10" ht="12">
      <c r="B44" s="99" t="s">
        <v>204</v>
      </c>
      <c r="C44" s="93" t="s">
        <v>247</v>
      </c>
      <c r="D44" s="107">
        <v>0</v>
      </c>
      <c r="E44" s="107">
        <f>'[2]Лист2'!$E$51</f>
        <v>1546.47477</v>
      </c>
      <c r="I44" s="110"/>
      <c r="J44" s="110"/>
    </row>
    <row r="45" spans="2:5" ht="12">
      <c r="B45" s="97" t="s">
        <v>206</v>
      </c>
      <c r="C45" s="93" t="s">
        <v>248</v>
      </c>
      <c r="D45" s="109"/>
      <c r="E45" s="113"/>
    </row>
    <row r="46" spans="2:5" s="104" customFormat="1" ht="12">
      <c r="B46" s="92" t="s">
        <v>249</v>
      </c>
      <c r="C46" s="93" t="s">
        <v>250</v>
      </c>
      <c r="D46" s="114">
        <f>SUM(D48:D58)</f>
        <v>7251.3953200000005</v>
      </c>
      <c r="E46" s="114">
        <f>SUM(E48:E58)</f>
        <v>26859.760459999998</v>
      </c>
    </row>
    <row r="47" spans="2:5" ht="12">
      <c r="B47" s="99" t="s">
        <v>20</v>
      </c>
      <c r="C47" s="93"/>
      <c r="D47" s="115"/>
      <c r="E47" s="113"/>
    </row>
    <row r="48" spans="2:5" ht="12">
      <c r="B48" s="99" t="s">
        <v>251</v>
      </c>
      <c r="C48" s="93" t="s">
        <v>252</v>
      </c>
      <c r="D48" s="107">
        <f>'[2]Лист2'!$D$55</f>
        <v>7176.29711</v>
      </c>
      <c r="E48" s="107">
        <f>'[2]Лист2'!$E$55</f>
        <v>14327.92246</v>
      </c>
    </row>
    <row r="49" spans="2:5" ht="12">
      <c r="B49" s="99" t="s">
        <v>253</v>
      </c>
      <c r="C49" s="93" t="s">
        <v>254</v>
      </c>
      <c r="D49" s="107">
        <f>'[2]Лист2'!$D$56</f>
        <v>75.09821</v>
      </c>
      <c r="E49" s="107">
        <f>'[2]Лист2'!$E$56</f>
        <v>12531.838</v>
      </c>
    </row>
    <row r="50" spans="2:5" ht="12">
      <c r="B50" s="99" t="s">
        <v>255</v>
      </c>
      <c r="C50" s="93" t="s">
        <v>256</v>
      </c>
      <c r="D50" s="108"/>
      <c r="E50" s="109"/>
    </row>
    <row r="51" spans="2:5" ht="24">
      <c r="B51" s="97" t="s">
        <v>257</v>
      </c>
      <c r="C51" s="93" t="s">
        <v>258</v>
      </c>
      <c r="D51" s="108"/>
      <c r="E51" s="109"/>
    </row>
    <row r="52" spans="2:5" ht="12">
      <c r="B52" s="97" t="s">
        <v>259</v>
      </c>
      <c r="C52" s="93" t="s">
        <v>260</v>
      </c>
      <c r="D52" s="108"/>
      <c r="E52" s="109"/>
    </row>
    <row r="53" spans="2:5" ht="12">
      <c r="B53" s="97" t="s">
        <v>261</v>
      </c>
      <c r="C53" s="93" t="s">
        <v>262</v>
      </c>
      <c r="D53" s="108"/>
      <c r="E53" s="109"/>
    </row>
    <row r="54" spans="2:5" ht="12">
      <c r="B54" s="99" t="s">
        <v>263</v>
      </c>
      <c r="C54" s="93" t="s">
        <v>264</v>
      </c>
      <c r="D54" s="109"/>
      <c r="E54" s="109"/>
    </row>
    <row r="55" spans="2:5" ht="12">
      <c r="B55" s="99" t="s">
        <v>265</v>
      </c>
      <c r="C55" s="93" t="s">
        <v>266</v>
      </c>
      <c r="D55" s="109"/>
      <c r="E55" s="109"/>
    </row>
    <row r="56" spans="2:5" ht="12">
      <c r="B56" s="99" t="s">
        <v>243</v>
      </c>
      <c r="C56" s="93" t="s">
        <v>267</v>
      </c>
      <c r="D56" s="109"/>
      <c r="E56" s="109"/>
    </row>
    <row r="57" spans="2:5" ht="12">
      <c r="B57" s="99" t="s">
        <v>268</v>
      </c>
      <c r="C57" s="93" t="s">
        <v>269</v>
      </c>
      <c r="D57" s="101"/>
      <c r="E57" s="101"/>
    </row>
    <row r="58" spans="2:5" ht="12">
      <c r="B58" s="99" t="s">
        <v>222</v>
      </c>
      <c r="C58" s="93" t="s">
        <v>270</v>
      </c>
      <c r="D58" s="100"/>
      <c r="E58" s="101"/>
    </row>
    <row r="59" spans="2:5" ht="24">
      <c r="B59" s="103" t="s">
        <v>271</v>
      </c>
      <c r="C59" s="93" t="s">
        <v>272</v>
      </c>
      <c r="D59" s="102">
        <f>D33-D46</f>
        <v>787657.0135</v>
      </c>
      <c r="E59" s="102">
        <f>E33-E46</f>
        <v>842993.63686</v>
      </c>
    </row>
    <row r="60" ht="12">
      <c r="C60" s="93"/>
    </row>
    <row r="61" spans="2:5" ht="11.25">
      <c r="B61" s="89" t="s">
        <v>273</v>
      </c>
      <c r="C61" s="90"/>
      <c r="D61" s="90"/>
      <c r="E61" s="91"/>
    </row>
    <row r="62" spans="2:5" s="104" customFormat="1" ht="12">
      <c r="B62" s="92" t="s">
        <v>274</v>
      </c>
      <c r="C62" s="93" t="s">
        <v>275</v>
      </c>
      <c r="D62" s="102">
        <f>SUM(D64:D67)</f>
        <v>1879937.97647</v>
      </c>
      <c r="E62" s="102">
        <f>SUM(E64:E67)</f>
        <v>2868615.2910999996</v>
      </c>
    </row>
    <row r="63" spans="2:5" s="104" customFormat="1" ht="12">
      <c r="B63" s="92" t="s">
        <v>20</v>
      </c>
      <c r="C63" s="93"/>
      <c r="D63" s="96"/>
      <c r="E63" s="96"/>
    </row>
    <row r="64" spans="2:5" ht="12">
      <c r="B64" s="99" t="s">
        <v>276</v>
      </c>
      <c r="C64" s="93" t="s">
        <v>277</v>
      </c>
      <c r="D64" s="101" t="s">
        <v>278</v>
      </c>
      <c r="E64" s="101"/>
    </row>
    <row r="65" spans="2:6" ht="12">
      <c r="B65" s="99" t="s">
        <v>279</v>
      </c>
      <c r="C65" s="93" t="s">
        <v>280</v>
      </c>
      <c r="D65" s="108"/>
      <c r="E65" s="109"/>
      <c r="F65" s="116"/>
    </row>
    <row r="66" spans="2:6" ht="12">
      <c r="B66" s="99" t="s">
        <v>204</v>
      </c>
      <c r="C66" s="93" t="s">
        <v>281</v>
      </c>
      <c r="D66" s="107">
        <f>'[2]Лист2'!$D$73</f>
        <v>1879937.97647</v>
      </c>
      <c r="E66" s="107">
        <f>'[2]Лист2'!$E$73</f>
        <v>2868615.2910999996</v>
      </c>
      <c r="F66" s="116"/>
    </row>
    <row r="67" spans="2:6" ht="12">
      <c r="B67" s="99" t="s">
        <v>282</v>
      </c>
      <c r="C67" s="93" t="s">
        <v>283</v>
      </c>
      <c r="D67" s="109" t="s">
        <v>278</v>
      </c>
      <c r="E67" s="109"/>
      <c r="F67" s="116"/>
    </row>
    <row r="68" spans="2:6" s="104" customFormat="1" ht="12">
      <c r="B68" s="92" t="s">
        <v>284</v>
      </c>
      <c r="C68" s="93" t="s">
        <v>285</v>
      </c>
      <c r="D68" s="117">
        <f>SUM(D70:D74)</f>
        <v>4310811.65367</v>
      </c>
      <c r="E68" s="117">
        <f>SUM(E70:E74)</f>
        <v>5223117.565479999</v>
      </c>
      <c r="F68" s="118"/>
    </row>
    <row r="69" spans="2:6" s="104" customFormat="1" ht="12">
      <c r="B69" s="92" t="s">
        <v>20</v>
      </c>
      <c r="C69" s="93"/>
      <c r="D69" s="119"/>
      <c r="E69" s="119"/>
      <c r="F69" s="118"/>
    </row>
    <row r="70" spans="2:6" ht="12">
      <c r="B70" s="99" t="s">
        <v>286</v>
      </c>
      <c r="C70" s="93" t="s">
        <v>287</v>
      </c>
      <c r="D70" s="107">
        <f>'[2]Лист2'!$D$77</f>
        <v>221144.77488</v>
      </c>
      <c r="E70" s="107">
        <f>'[2]Лист2'!$E$77</f>
        <v>604259.41423</v>
      </c>
      <c r="F70" s="116"/>
    </row>
    <row r="71" spans="2:6" ht="12">
      <c r="B71" s="99" t="s">
        <v>216</v>
      </c>
      <c r="C71" s="93" t="s">
        <v>288</v>
      </c>
      <c r="D71" s="107">
        <f>'[2]Лист2'!$D$78</f>
        <v>758473.84879</v>
      </c>
      <c r="E71" s="107">
        <f>'[2]Лист2'!$E$78</f>
        <v>1725194.92042</v>
      </c>
      <c r="F71" s="116"/>
    </row>
    <row r="72" spans="2:6" ht="12">
      <c r="B72" s="99" t="s">
        <v>289</v>
      </c>
      <c r="C72" s="93" t="s">
        <v>290</v>
      </c>
      <c r="D72" s="109"/>
      <c r="E72" s="109"/>
      <c r="F72" s="116"/>
    </row>
    <row r="73" spans="2:6" ht="12">
      <c r="B73" s="99" t="s">
        <v>291</v>
      </c>
      <c r="C73" s="93" t="s">
        <v>292</v>
      </c>
      <c r="D73" s="109"/>
      <c r="E73" s="109"/>
      <c r="F73" s="116"/>
    </row>
    <row r="74" spans="2:6" ht="12">
      <c r="B74" s="99" t="s">
        <v>293</v>
      </c>
      <c r="C74" s="93" t="s">
        <v>294</v>
      </c>
      <c r="D74" s="107">
        <f>'[2]Лист2'!$D$81</f>
        <v>3331193.0300000003</v>
      </c>
      <c r="E74" s="107">
        <f>'[2]Лист2'!$E$81</f>
        <v>2893663.23083</v>
      </c>
      <c r="F74" s="116"/>
    </row>
    <row r="75" spans="2:6" ht="24">
      <c r="B75" s="103" t="s">
        <v>295</v>
      </c>
      <c r="C75" s="93" t="s">
        <v>296</v>
      </c>
      <c r="D75" s="117">
        <f>D62-D68</f>
        <v>-2430873.6772</v>
      </c>
      <c r="E75" s="117">
        <f>E62-E68</f>
        <v>-2354502.27438</v>
      </c>
      <c r="F75" s="116"/>
    </row>
    <row r="76" spans="2:6" ht="12">
      <c r="B76" s="103" t="s">
        <v>297</v>
      </c>
      <c r="C76" s="93"/>
      <c r="D76" s="117">
        <f>'[2]Лист2'!$D$83</f>
        <v>53.606029999999976</v>
      </c>
      <c r="E76" s="117">
        <f>'[2]Лист2'!$E$83</f>
        <v>347.4018400000002</v>
      </c>
      <c r="F76" s="116"/>
    </row>
    <row r="77" spans="2:5" ht="24">
      <c r="B77" s="103" t="s">
        <v>298</v>
      </c>
      <c r="C77" s="93"/>
      <c r="D77" s="102">
        <f>D30+D59+D75</f>
        <v>110948.94166000001</v>
      </c>
      <c r="E77" s="102">
        <f>E30+E59+E75</f>
        <v>-348304.79539999785</v>
      </c>
    </row>
    <row r="78" ht="9.75" customHeight="1">
      <c r="C78" s="120"/>
    </row>
    <row r="79" spans="2:5" ht="12">
      <c r="B79" s="92" t="s">
        <v>299</v>
      </c>
      <c r="C79" s="93"/>
      <c r="D79" s="102">
        <v>571098</v>
      </c>
      <c r="E79" s="102">
        <v>1159434</v>
      </c>
    </row>
    <row r="80" spans="2:5" ht="12">
      <c r="B80" s="92" t="s">
        <v>300</v>
      </c>
      <c r="C80" s="93"/>
      <c r="D80" s="102">
        <f>D77+D79</f>
        <v>682046.94166</v>
      </c>
      <c r="E80" s="102">
        <f>E77+E79-1</f>
        <v>811128.2046000022</v>
      </c>
    </row>
    <row r="81" spans="4:5" ht="11.25">
      <c r="D81" s="121"/>
      <c r="E81" s="121"/>
    </row>
    <row r="82" spans="2:5" ht="12.75">
      <c r="B82" s="122" t="s">
        <v>301</v>
      </c>
      <c r="C82" s="122"/>
      <c r="D82" s="122"/>
      <c r="E82" s="122"/>
    </row>
    <row r="83" spans="2:5" ht="12.75">
      <c r="B83" s="122" t="s">
        <v>302</v>
      </c>
      <c r="C83" s="122"/>
      <c r="D83" s="122"/>
      <c r="E83" s="122"/>
    </row>
    <row r="84" spans="2:5" ht="12.75">
      <c r="B84" s="122" t="s">
        <v>303</v>
      </c>
      <c r="C84" s="122"/>
      <c r="D84" s="122"/>
      <c r="E84" s="122"/>
    </row>
    <row r="85" spans="2:5" ht="12.75">
      <c r="B85" s="122" t="s">
        <v>304</v>
      </c>
      <c r="C85" s="122"/>
      <c r="D85" s="122"/>
      <c r="E85" s="122"/>
    </row>
    <row r="86" spans="2:5" ht="12.75">
      <c r="B86" s="122" t="s">
        <v>76</v>
      </c>
      <c r="C86" s="122"/>
      <c r="D86" s="122"/>
      <c r="E86" s="122"/>
    </row>
    <row r="87" spans="2:5" ht="12.75">
      <c r="B87" s="123"/>
      <c r="C87" s="123"/>
      <c r="D87" s="123"/>
      <c r="E87" s="124"/>
    </row>
    <row r="88" spans="4:5" ht="11.25">
      <c r="D88" s="121"/>
      <c r="E88" s="121"/>
    </row>
    <row r="89" spans="4:5" ht="11.25">
      <c r="D89" s="121"/>
      <c r="E89" s="121"/>
    </row>
    <row r="90" spans="4:5" ht="11.25">
      <c r="D90" s="125"/>
      <c r="E90" s="125"/>
    </row>
  </sheetData>
  <sheetProtection/>
  <mergeCells count="8">
    <mergeCell ref="B85:E85"/>
    <mergeCell ref="B86:E86"/>
    <mergeCell ref="B12:E12"/>
    <mergeCell ref="B32:E32"/>
    <mergeCell ref="B61:E61"/>
    <mergeCell ref="B82:E82"/>
    <mergeCell ref="B83:E83"/>
    <mergeCell ref="B84:E8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1.140625" style="0" bestFit="1" customWidth="1"/>
    <col min="2" max="2" width="7.421875" style="0" bestFit="1" customWidth="1"/>
    <col min="3" max="4" width="9.00390625" style="0" bestFit="1" customWidth="1"/>
    <col min="5" max="5" width="7.57421875" style="0" bestFit="1" customWidth="1"/>
    <col min="6" max="6" width="9.421875" style="0" bestFit="1" customWidth="1"/>
    <col min="7" max="7" width="8.8515625" style="0" bestFit="1" customWidth="1"/>
    <col min="8" max="8" width="16.8515625" style="0" bestFit="1" customWidth="1"/>
    <col min="9" max="9" width="14.8515625" style="0" bestFit="1" customWidth="1"/>
  </cols>
  <sheetData>
    <row r="1" spans="1:19" ht="15">
      <c r="A1" s="55"/>
      <c r="B1" s="55"/>
      <c r="C1" s="55"/>
      <c r="D1" s="55"/>
      <c r="E1" s="55"/>
      <c r="F1" s="55"/>
      <c r="G1" s="55"/>
      <c r="H1" s="56"/>
      <c r="I1" s="57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15">
      <c r="A3" s="58" t="s">
        <v>150</v>
      </c>
      <c r="B3" s="58"/>
      <c r="C3" s="58"/>
      <c r="D3" s="58"/>
      <c r="E3" s="58"/>
      <c r="F3" s="58"/>
      <c r="G3" s="58"/>
      <c r="H3" s="58"/>
      <c r="I3" s="58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15">
      <c r="A4" s="50" t="s">
        <v>151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</row>
    <row r="5" spans="1:19" ht="15">
      <c r="A5" s="59" t="s">
        <v>4</v>
      </c>
      <c r="B5" s="59"/>
      <c r="C5" s="59"/>
      <c r="D5" s="59"/>
      <c r="E5" s="59"/>
      <c r="F5" s="59"/>
      <c r="G5" s="59"/>
      <c r="H5" s="59"/>
      <c r="I5" s="59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 ht="15">
      <c r="A6" s="49" t="s">
        <v>152</v>
      </c>
      <c r="B6" s="49"/>
      <c r="C6" s="49"/>
      <c r="D6" s="49"/>
      <c r="E6" s="49"/>
      <c r="F6" s="49"/>
      <c r="G6" s="49"/>
      <c r="H6" s="49"/>
      <c r="I6" s="49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19" ht="15">
      <c r="A7" s="60">
        <v>3</v>
      </c>
      <c r="B7" s="61"/>
      <c r="C7" s="61"/>
      <c r="D7" s="61"/>
      <c r="E7" s="60"/>
      <c r="F7" s="60"/>
      <c r="G7" s="60"/>
      <c r="H7" s="60"/>
      <c r="I7" s="62" t="s">
        <v>153</v>
      </c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ht="15">
      <c r="A8" s="63" t="s">
        <v>7</v>
      </c>
      <c r="B8" s="64" t="s">
        <v>154</v>
      </c>
      <c r="C8" s="65" t="s">
        <v>155</v>
      </c>
      <c r="D8" s="65"/>
      <c r="E8" s="65"/>
      <c r="F8" s="65"/>
      <c r="G8" s="65"/>
      <c r="H8" s="63" t="s">
        <v>66</v>
      </c>
      <c r="I8" s="63" t="s">
        <v>156</v>
      </c>
      <c r="J8" s="55"/>
      <c r="K8" s="55"/>
      <c r="L8" s="55"/>
      <c r="M8" s="55"/>
      <c r="N8" s="55"/>
      <c r="O8" s="55"/>
      <c r="P8" s="55"/>
      <c r="Q8" s="55"/>
      <c r="R8" s="55"/>
      <c r="S8" s="55"/>
    </row>
    <row r="9" spans="1:19" ht="51.75">
      <c r="A9" s="63"/>
      <c r="B9" s="64"/>
      <c r="C9" s="66" t="s">
        <v>56</v>
      </c>
      <c r="D9" s="66" t="s">
        <v>61</v>
      </c>
      <c r="E9" s="66" t="s">
        <v>62</v>
      </c>
      <c r="F9" s="67" t="s">
        <v>157</v>
      </c>
      <c r="G9" s="68" t="s">
        <v>158</v>
      </c>
      <c r="H9" s="63"/>
      <c r="I9" s="63"/>
      <c r="J9" s="55"/>
      <c r="K9" s="55"/>
      <c r="L9" s="55"/>
      <c r="M9" s="55"/>
      <c r="N9" s="55"/>
      <c r="O9" s="55"/>
      <c r="P9" s="55"/>
      <c r="Q9" s="55"/>
      <c r="R9" s="55"/>
      <c r="S9" s="55"/>
    </row>
    <row r="10" spans="1:19" ht="15">
      <c r="A10" s="69">
        <v>1</v>
      </c>
      <c r="B10" s="70"/>
      <c r="C10" s="69">
        <v>2</v>
      </c>
      <c r="D10" s="69">
        <v>3</v>
      </c>
      <c r="E10" s="69">
        <v>4</v>
      </c>
      <c r="F10" s="69">
        <v>5</v>
      </c>
      <c r="G10" s="69">
        <v>6</v>
      </c>
      <c r="H10" s="69">
        <v>7</v>
      </c>
      <c r="I10" s="69">
        <v>8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</row>
    <row r="11" spans="1:19" ht="15">
      <c r="A11" s="71" t="s">
        <v>159</v>
      </c>
      <c r="B11" s="7">
        <v>1</v>
      </c>
      <c r="C11" s="72">
        <v>5615004</v>
      </c>
      <c r="D11" s="72">
        <v>5134250</v>
      </c>
      <c r="E11" s="72"/>
      <c r="F11" s="72">
        <v>-3899709</v>
      </c>
      <c r="G11" s="73">
        <f>SUM(C11+D11+E11+F11)</f>
        <v>6849545</v>
      </c>
      <c r="H11" s="72"/>
      <c r="I11" s="73">
        <f>G11+H11</f>
        <v>6849545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5">
      <c r="A12" s="74" t="s">
        <v>160</v>
      </c>
      <c r="B12" s="7">
        <v>2</v>
      </c>
      <c r="C12" s="75"/>
      <c r="D12" s="75"/>
      <c r="E12" s="75"/>
      <c r="F12" s="75"/>
      <c r="G12" s="73">
        <f>SUM(C12+D12+E12+F12)</f>
        <v>0</v>
      </c>
      <c r="H12" s="75"/>
      <c r="I12" s="72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5">
      <c r="A13" s="71" t="s">
        <v>161</v>
      </c>
      <c r="B13" s="7">
        <v>3</v>
      </c>
      <c r="C13" s="76">
        <f>C11+C12</f>
        <v>5615004</v>
      </c>
      <c r="D13" s="76">
        <f>D11+D12</f>
        <v>5134250</v>
      </c>
      <c r="E13" s="76">
        <f>E11+E12</f>
        <v>0</v>
      </c>
      <c r="F13" s="76">
        <f>F11+F12</f>
        <v>-3899709</v>
      </c>
      <c r="G13" s="76">
        <f>G11+G12</f>
        <v>6849545</v>
      </c>
      <c r="H13" s="77"/>
      <c r="I13" s="73">
        <f>G13+H13</f>
        <v>6849545</v>
      </c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25.5">
      <c r="A14" s="31" t="s">
        <v>162</v>
      </c>
      <c r="B14" s="78">
        <v>4</v>
      </c>
      <c r="C14" s="77"/>
      <c r="D14" s="77"/>
      <c r="E14" s="77"/>
      <c r="F14" s="77"/>
      <c r="G14" s="77"/>
      <c r="H14" s="77"/>
      <c r="I14" s="72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5">
      <c r="A15" s="79" t="s">
        <v>163</v>
      </c>
      <c r="B15" s="78">
        <v>5</v>
      </c>
      <c r="C15" s="77"/>
      <c r="D15" s="77"/>
      <c r="E15" s="77"/>
      <c r="F15" s="77"/>
      <c r="G15" s="77"/>
      <c r="H15" s="77"/>
      <c r="I15" s="72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5">
      <c r="A16" s="79" t="s">
        <v>164</v>
      </c>
      <c r="B16" s="78">
        <v>6</v>
      </c>
      <c r="C16" s="77"/>
      <c r="D16" s="77"/>
      <c r="E16" s="77"/>
      <c r="F16" s="77"/>
      <c r="G16" s="77"/>
      <c r="H16" s="77"/>
      <c r="I16" s="72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5">
      <c r="A17" s="71" t="s">
        <v>165</v>
      </c>
      <c r="B17" s="78">
        <v>7</v>
      </c>
      <c r="C17" s="77"/>
      <c r="D17" s="77"/>
      <c r="E17" s="77"/>
      <c r="F17" s="77"/>
      <c r="G17" s="77"/>
      <c r="H17" s="77"/>
      <c r="I17" s="72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5">
      <c r="A18" s="71" t="s">
        <v>166</v>
      </c>
      <c r="B18" s="78">
        <v>8</v>
      </c>
      <c r="C18" s="76">
        <f>C14+C15+C16+C17</f>
        <v>0</v>
      </c>
      <c r="D18" s="76">
        <f>D14+D15+D16+D17</f>
        <v>0</v>
      </c>
      <c r="E18" s="76">
        <f>E14+E15+E16+E17</f>
        <v>0</v>
      </c>
      <c r="F18" s="76">
        <f>F14+F15+F16+F17</f>
        <v>0</v>
      </c>
      <c r="G18" s="76">
        <f>G16+G17</f>
        <v>0</v>
      </c>
      <c r="H18" s="77"/>
      <c r="I18" s="73">
        <f>G18+H18</f>
        <v>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5">
      <c r="A19" s="71" t="s">
        <v>167</v>
      </c>
      <c r="B19" s="78">
        <v>9</v>
      </c>
      <c r="C19" s="77"/>
      <c r="D19" s="77"/>
      <c r="E19" s="77"/>
      <c r="F19" s="77"/>
      <c r="G19" s="77"/>
      <c r="H19" s="77"/>
      <c r="I19" s="72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5">
      <c r="A20" s="71" t="s">
        <v>168</v>
      </c>
      <c r="B20" s="78">
        <v>10</v>
      </c>
      <c r="C20" s="76">
        <f>C18+C19</f>
        <v>0</v>
      </c>
      <c r="D20" s="76">
        <f>D18+D19</f>
        <v>0</v>
      </c>
      <c r="E20" s="76">
        <f>E18+E19</f>
        <v>0</v>
      </c>
      <c r="F20" s="76">
        <f>F18+F19</f>
        <v>0</v>
      </c>
      <c r="G20" s="76">
        <f>G18+G19</f>
        <v>0</v>
      </c>
      <c r="H20" s="77"/>
      <c r="I20" s="73">
        <f>G20+H20</f>
        <v>0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5">
      <c r="A21" s="31" t="s">
        <v>169</v>
      </c>
      <c r="B21" s="78">
        <v>11</v>
      </c>
      <c r="C21" s="77"/>
      <c r="D21" s="77"/>
      <c r="E21" s="77"/>
      <c r="F21" s="77"/>
      <c r="G21" s="77"/>
      <c r="H21" s="77"/>
      <c r="I21" s="72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5">
      <c r="A22" s="31" t="s">
        <v>170</v>
      </c>
      <c r="B22" s="78">
        <v>12</v>
      </c>
      <c r="C22" s="77"/>
      <c r="D22" s="77"/>
      <c r="E22" s="77"/>
      <c r="F22" s="77"/>
      <c r="G22" s="77"/>
      <c r="H22" s="77"/>
      <c r="I22" s="72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5">
      <c r="A23" s="79" t="s">
        <v>171</v>
      </c>
      <c r="B23" s="7">
        <v>12</v>
      </c>
      <c r="C23" s="77"/>
      <c r="D23" s="77"/>
      <c r="E23" s="77"/>
      <c r="F23" s="77"/>
      <c r="G23" s="77"/>
      <c r="H23" s="77"/>
      <c r="I23" s="72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5">
      <c r="A24" s="79" t="s">
        <v>172</v>
      </c>
      <c r="B24" s="7">
        <v>14</v>
      </c>
      <c r="C24" s="76">
        <f>C25+C26</f>
        <v>0</v>
      </c>
      <c r="D24" s="76">
        <f>D25+D26</f>
        <v>0</v>
      </c>
      <c r="E24" s="76">
        <f>E25+E26</f>
        <v>0</v>
      </c>
      <c r="F24" s="76">
        <f>F25+F26</f>
        <v>0</v>
      </c>
      <c r="G24" s="76">
        <f>G22+G23</f>
        <v>0</v>
      </c>
      <c r="H24" s="77"/>
      <c r="I24" s="73">
        <f>G24+H24</f>
        <v>0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</row>
    <row r="25" spans="1:19" ht="15">
      <c r="A25" s="79" t="s">
        <v>173</v>
      </c>
      <c r="B25" s="7">
        <v>15</v>
      </c>
      <c r="C25" s="77"/>
      <c r="D25" s="77"/>
      <c r="E25" s="77"/>
      <c r="F25" s="77"/>
      <c r="G25" s="77"/>
      <c r="H25" s="77"/>
      <c r="I25" s="72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5">
      <c r="A26" s="79" t="s">
        <v>174</v>
      </c>
      <c r="B26" s="7">
        <v>16</v>
      </c>
      <c r="C26" s="77"/>
      <c r="D26" s="77"/>
      <c r="E26" s="77"/>
      <c r="F26" s="77"/>
      <c r="G26" s="77"/>
      <c r="H26" s="77"/>
      <c r="I26" s="72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5">
      <c r="A27" s="79" t="s">
        <v>175</v>
      </c>
      <c r="B27" s="7">
        <v>17</v>
      </c>
      <c r="C27" s="77"/>
      <c r="D27" s="77"/>
      <c r="E27" s="77"/>
      <c r="F27" s="77"/>
      <c r="G27" s="77"/>
      <c r="H27" s="77"/>
      <c r="I27" s="72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5">
      <c r="A28" s="80" t="s">
        <v>176</v>
      </c>
      <c r="B28" s="7">
        <v>18</v>
      </c>
      <c r="C28" s="77">
        <f>C11</f>
        <v>5615004</v>
      </c>
      <c r="D28" s="77">
        <f>D11</f>
        <v>5134250</v>
      </c>
      <c r="E28" s="77"/>
      <c r="F28" s="77">
        <f>F11</f>
        <v>-3899709</v>
      </c>
      <c r="G28" s="77">
        <f>G11</f>
        <v>6849545</v>
      </c>
      <c r="H28" s="77"/>
      <c r="I28" s="72">
        <f>I11</f>
        <v>6849545</v>
      </c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5">
      <c r="A29" s="74" t="s">
        <v>160</v>
      </c>
      <c r="B29" s="7">
        <v>19</v>
      </c>
      <c r="C29" s="77"/>
      <c r="D29" s="77"/>
      <c r="E29" s="77"/>
      <c r="F29" s="77"/>
      <c r="G29" s="77"/>
      <c r="H29" s="77"/>
      <c r="I29" s="72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5">
      <c r="A30" s="71" t="s">
        <v>177</v>
      </c>
      <c r="B30" s="7">
        <v>20</v>
      </c>
      <c r="C30" s="76">
        <f>C28+C29</f>
        <v>5615004</v>
      </c>
      <c r="D30" s="76">
        <f>D28+D29</f>
        <v>5134250</v>
      </c>
      <c r="E30" s="76">
        <f>E28+E29</f>
        <v>0</v>
      </c>
      <c r="F30" s="76">
        <f>F28+F29</f>
        <v>-3899709</v>
      </c>
      <c r="G30" s="76">
        <f>G28+G29</f>
        <v>6849545</v>
      </c>
      <c r="H30" s="77"/>
      <c r="I30" s="73">
        <f>G30+H30</f>
        <v>6849545</v>
      </c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25.5">
      <c r="A31" s="31" t="s">
        <v>162</v>
      </c>
      <c r="B31" s="7">
        <v>21</v>
      </c>
      <c r="C31" s="77"/>
      <c r="D31" s="77"/>
      <c r="E31" s="77"/>
      <c r="F31" s="77"/>
      <c r="G31" s="77"/>
      <c r="H31" s="77"/>
      <c r="I31" s="72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5">
      <c r="A32" s="79" t="s">
        <v>163</v>
      </c>
      <c r="B32" s="7">
        <v>22</v>
      </c>
      <c r="C32" s="77"/>
      <c r="D32" s="77"/>
      <c r="E32" s="77"/>
      <c r="F32" s="77"/>
      <c r="G32" s="77"/>
      <c r="H32" s="77"/>
      <c r="I32" s="72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5">
      <c r="A33" s="79" t="s">
        <v>164</v>
      </c>
      <c r="B33" s="7">
        <v>23</v>
      </c>
      <c r="C33" s="77"/>
      <c r="D33" s="77"/>
      <c r="E33" s="77"/>
      <c r="F33" s="77"/>
      <c r="G33" s="77"/>
      <c r="H33" s="77"/>
      <c r="I33" s="72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5">
      <c r="A34" s="71" t="s">
        <v>165</v>
      </c>
      <c r="B34" s="7">
        <v>24</v>
      </c>
      <c r="C34" s="77"/>
      <c r="D34" s="77"/>
      <c r="E34" s="77"/>
      <c r="F34" s="77"/>
      <c r="G34" s="77"/>
      <c r="H34" s="77"/>
      <c r="I34" s="72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5">
      <c r="A35" s="71" t="s">
        <v>166</v>
      </c>
      <c r="B35" s="7">
        <v>25</v>
      </c>
      <c r="C35" s="76">
        <f>C31+C32+C33+C34</f>
        <v>0</v>
      </c>
      <c r="D35" s="76">
        <f>D31+D32+D33+D34</f>
        <v>0</v>
      </c>
      <c r="E35" s="76">
        <f>E31+E32+E33+E34</f>
        <v>0</v>
      </c>
      <c r="F35" s="76">
        <f>F31+F32+F33+F34</f>
        <v>0</v>
      </c>
      <c r="G35" s="76">
        <f>G33+G34</f>
        <v>0</v>
      </c>
      <c r="H35" s="77"/>
      <c r="I35" s="73">
        <f>G35+H35</f>
        <v>0</v>
      </c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5">
      <c r="A36" s="71" t="s">
        <v>167</v>
      </c>
      <c r="B36" s="7">
        <v>26</v>
      </c>
      <c r="C36" s="77"/>
      <c r="D36" s="77"/>
      <c r="E36" s="77"/>
      <c r="F36" s="77">
        <f>'[1]1-3 кл'!G156</f>
        <v>413212</v>
      </c>
      <c r="G36" s="77">
        <f>F36</f>
        <v>413212</v>
      </c>
      <c r="H36" s="77"/>
      <c r="I36" s="72">
        <f>G36</f>
        <v>413212</v>
      </c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5">
      <c r="A37" s="71" t="s">
        <v>168</v>
      </c>
      <c r="B37" s="7">
        <v>27</v>
      </c>
      <c r="C37" s="76">
        <f>C35+C36</f>
        <v>0</v>
      </c>
      <c r="D37" s="76">
        <f>D35+D36</f>
        <v>0</v>
      </c>
      <c r="E37" s="76">
        <f>E35+E36</f>
        <v>0</v>
      </c>
      <c r="F37" s="76">
        <f>F35+F36</f>
        <v>413212</v>
      </c>
      <c r="G37" s="76">
        <f>G35+G36</f>
        <v>413212</v>
      </c>
      <c r="H37" s="77"/>
      <c r="I37" s="73">
        <f>G37+H37</f>
        <v>413212</v>
      </c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5">
      <c r="A38" s="31" t="s">
        <v>169</v>
      </c>
      <c r="B38" s="7">
        <v>28</v>
      </c>
      <c r="C38" s="77"/>
      <c r="D38" s="77"/>
      <c r="E38" s="77"/>
      <c r="F38" s="77"/>
      <c r="G38" s="77"/>
      <c r="H38" s="77"/>
      <c r="I38" s="72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5">
      <c r="A39" s="31" t="s">
        <v>170</v>
      </c>
      <c r="B39" s="7">
        <v>29</v>
      </c>
      <c r="C39" s="77"/>
      <c r="D39" s="77"/>
      <c r="E39" s="77"/>
      <c r="F39" s="77"/>
      <c r="G39" s="77"/>
      <c r="H39" s="77"/>
      <c r="I39" s="72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5">
      <c r="A40" s="79" t="s">
        <v>171</v>
      </c>
      <c r="B40" s="7">
        <v>30</v>
      </c>
      <c r="C40" s="77"/>
      <c r="D40" s="77"/>
      <c r="E40" s="77"/>
      <c r="F40" s="77"/>
      <c r="G40" s="77"/>
      <c r="H40" s="77"/>
      <c r="I40" s="72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5">
      <c r="A41" s="79" t="s">
        <v>172</v>
      </c>
      <c r="B41" s="7">
        <v>31</v>
      </c>
      <c r="C41" s="76">
        <f>C42+C43</f>
        <v>0</v>
      </c>
      <c r="D41" s="76">
        <f>D42+D43</f>
        <v>0</v>
      </c>
      <c r="E41" s="76">
        <f>E42+E43</f>
        <v>0</v>
      </c>
      <c r="F41" s="76">
        <f>F42+F43</f>
        <v>0</v>
      </c>
      <c r="G41" s="76">
        <f>G39+G40</f>
        <v>0</v>
      </c>
      <c r="H41" s="77"/>
      <c r="I41" s="73">
        <f>G41+H41</f>
        <v>0</v>
      </c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5">
      <c r="A42" s="79" t="s">
        <v>173</v>
      </c>
      <c r="B42" s="7">
        <v>32</v>
      </c>
      <c r="C42" s="77"/>
      <c r="D42" s="77"/>
      <c r="E42" s="77"/>
      <c r="F42" s="77"/>
      <c r="G42" s="77"/>
      <c r="H42" s="77"/>
      <c r="I42" s="72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5">
      <c r="A43" s="79" t="s">
        <v>174</v>
      </c>
      <c r="B43" s="7">
        <v>33</v>
      </c>
      <c r="C43" s="77"/>
      <c r="D43" s="77"/>
      <c r="E43" s="77"/>
      <c r="F43" s="77"/>
      <c r="G43" s="77"/>
      <c r="H43" s="77"/>
      <c r="I43" s="72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5">
      <c r="A44" s="79" t="s">
        <v>175</v>
      </c>
      <c r="B44" s="7">
        <v>34</v>
      </c>
      <c r="C44" s="77"/>
      <c r="D44" s="77"/>
      <c r="E44" s="77"/>
      <c r="F44" s="77"/>
      <c r="G44" s="77"/>
      <c r="H44" s="77"/>
      <c r="I44" s="72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5">
      <c r="A45" s="80" t="s">
        <v>178</v>
      </c>
      <c r="B45" s="7">
        <v>35</v>
      </c>
      <c r="C45" s="76">
        <f>C30+C37</f>
        <v>5615004</v>
      </c>
      <c r="D45" s="76">
        <f>D30+D37</f>
        <v>5134250</v>
      </c>
      <c r="E45" s="76">
        <f>E30+E37</f>
        <v>0</v>
      </c>
      <c r="F45" s="76">
        <f>F28+F36</f>
        <v>-3486497</v>
      </c>
      <c r="G45" s="76">
        <f>C45+D45+F45</f>
        <v>7262757</v>
      </c>
      <c r="H45" s="77"/>
      <c r="I45" s="73">
        <f>I28+I36</f>
        <v>7262757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5">
      <c r="A46" s="55"/>
      <c r="B46" s="55"/>
      <c r="C46" s="55"/>
      <c r="D46" s="55"/>
      <c r="E46" s="55"/>
      <c r="F46" s="55"/>
      <c r="G46" s="55"/>
      <c r="H46" s="55"/>
      <c r="I46" s="1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5">
      <c r="A47" s="81" t="s">
        <v>179</v>
      </c>
      <c r="B47" s="81"/>
      <c r="C47" s="81"/>
      <c r="D47" s="81"/>
      <c r="E47" s="81"/>
      <c r="F47" s="81"/>
      <c r="G47" s="81"/>
      <c r="H47" s="81"/>
      <c r="I47" s="81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5">
      <c r="A49" s="27" t="s">
        <v>180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5">
      <c r="A50" s="26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5">
      <c r="A51" s="26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5">
      <c r="A52" s="27" t="s">
        <v>181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</row>
    <row r="53" spans="1:19" ht="15">
      <c r="A53" s="26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5">
      <c r="A54" s="26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5">
      <c r="A55" s="26" t="s">
        <v>182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5">
      <c r="A56" s="26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5">
      <c r="A57" s="26" t="s">
        <v>183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5">
      <c r="A58" s="2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5">
      <c r="A59" s="26" t="s">
        <v>76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</sheetData>
  <sheetProtection/>
  <mergeCells count="11">
    <mergeCell ref="A47:I47"/>
    <mergeCell ref="H1:I1"/>
    <mergeCell ref="A3:I3"/>
    <mergeCell ref="A4:S4"/>
    <mergeCell ref="A5:I5"/>
    <mergeCell ref="A6:I6"/>
    <mergeCell ref="A8:A9"/>
    <mergeCell ref="B8:B9"/>
    <mergeCell ref="C8:G8"/>
    <mergeCell ref="H8:H9"/>
    <mergeCell ref="I8:I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kopezhanova</dc:creator>
  <cp:keywords/>
  <dc:description/>
  <cp:lastModifiedBy>kopezhanova</cp:lastModifiedBy>
  <dcterms:created xsi:type="dcterms:W3CDTF">2013-10-23T08:38:29Z</dcterms:created>
  <dcterms:modified xsi:type="dcterms:W3CDTF">2013-10-23T08:44:17Z</dcterms:modified>
  <cp:category/>
  <cp:version/>
  <cp:contentType/>
  <cp:contentStatus/>
</cp:coreProperties>
</file>