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4capital-my.sharepoint.com/personal/dauren_orazayev_e4-capital_kz/Documents/E4 - Capital/1 Companies/2 BEN/2 Reporting and Budgeting/17. Мониторинг банка/2023/2 кв. 2023/01 Финансовые данные/"/>
    </mc:Choice>
  </mc:AlternateContent>
  <xr:revisionPtr revIDLastSave="2228" documentId="8_{3C037264-8F64-407C-8EF7-B627F3B4D969}" xr6:coauthVersionLast="47" xr6:coauthVersionMax="47" xr10:uidLastSave="{FCFFDA86-BF02-4A17-86E3-EBD9DAEE29D0}"/>
  <bookViews>
    <workbookView xWindow="-108" yWindow="-108" windowWidth="23256" windowHeight="12576" tabRatio="574" activeTab="1" xr2:uid="{7A91306D-1A52-4F02-891D-526B79E580FC}"/>
  </bookViews>
  <sheets>
    <sheet name="ОФП" sheetId="2" r:id="rId1"/>
    <sheet name="ОДР и ПСД" sheetId="1" r:id="rId2"/>
    <sheet name="ОДДС-К" sheetId="3" state="hidden" r:id="rId3"/>
    <sheet name="ОДДС_К" sheetId="5" r:id="rId4"/>
    <sheet name="Ф.3-ДДС-П" sheetId="7" state="hidden" r:id="rId5"/>
    <sheet name="ОИК" sheetId="4" r:id="rId6"/>
    <sheet name="ОС" sheetId="10" state="hidden" r:id="rId7"/>
  </sheets>
  <externalReferences>
    <externalReference r:id="rId8"/>
    <externalReference r:id="rId9"/>
  </externalReferences>
  <definedNames>
    <definedName name="_bookmark10" localSheetId="6">ОС!$A$1</definedName>
    <definedName name="_Hlk104297275" localSheetId="6">ОС!$A$16</definedName>
    <definedName name="AS2DocOpenMode" hidden="1">"AS2DocumentEdit"</definedName>
    <definedName name="AS2HasNoAutoHeaderFooter" hidden="1">" "</definedName>
    <definedName name="_xlnm.Print_Area" localSheetId="4">'Ф.3-ДДС-П'!$A$1:$D$97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6" i="5"/>
  <c r="D7" i="5"/>
  <c r="C8" i="5"/>
  <c r="D8" i="5"/>
  <c r="D9" i="5"/>
  <c r="D10" i="5"/>
  <c r="C11" i="5"/>
  <c r="D11" i="5"/>
  <c r="C12" i="5"/>
  <c r="D12" i="5"/>
  <c r="D13" i="5"/>
  <c r="D14" i="5"/>
  <c r="D15" i="5"/>
  <c r="D16" i="5"/>
  <c r="D17" i="5"/>
  <c r="D18" i="5"/>
  <c r="D19" i="5"/>
  <c r="D20" i="5"/>
  <c r="C21" i="5"/>
  <c r="D21" i="5"/>
  <c r="C22" i="5"/>
  <c r="D22" i="5"/>
  <c r="D23" i="5"/>
  <c r="C24" i="5"/>
  <c r="D24" i="5"/>
  <c r="D25" i="5"/>
  <c r="C26" i="5"/>
  <c r="D26" i="5"/>
  <c r="C27" i="5"/>
  <c r="D27" i="5"/>
  <c r="C28" i="5"/>
  <c r="D28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D36" i="5"/>
  <c r="C37" i="5"/>
  <c r="D37" i="5"/>
  <c r="D38" i="5"/>
  <c r="D39" i="5"/>
  <c r="C40" i="5"/>
  <c r="D40" i="5"/>
  <c r="C41" i="5"/>
  <c r="D41" i="5"/>
  <c r="C42" i="5"/>
  <c r="D42" i="5"/>
  <c r="C45" i="5"/>
  <c r="D45" i="5"/>
  <c r="C46" i="5"/>
  <c r="D46" i="5"/>
  <c r="C47" i="5"/>
  <c r="D47" i="5"/>
  <c r="C48" i="5"/>
  <c r="D48" i="5"/>
  <c r="C49" i="5"/>
  <c r="D49" i="5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C20" i="1"/>
  <c r="D20" i="1"/>
  <c r="D21" i="1"/>
  <c r="C22" i="1"/>
  <c r="D22" i="1"/>
  <c r="D23" i="1"/>
  <c r="K3" i="2" l="1"/>
  <c r="L3" i="2"/>
  <c r="K4" i="2"/>
  <c r="L4" i="2"/>
  <c r="K5" i="2"/>
  <c r="L5" i="2"/>
  <c r="L6" i="2"/>
  <c r="L7" i="2"/>
  <c r="L8" i="2"/>
  <c r="L9" i="2"/>
  <c r="L10" i="2"/>
  <c r="L11" i="2"/>
  <c r="L12" i="2"/>
  <c r="L13" i="2"/>
  <c r="K14" i="2"/>
  <c r="L14" i="2"/>
  <c r="L15" i="2"/>
  <c r="L16" i="2"/>
  <c r="L17" i="2"/>
  <c r="L18" i="2"/>
  <c r="L19" i="2"/>
  <c r="L20" i="2"/>
  <c r="L21" i="2"/>
  <c r="K22" i="2"/>
  <c r="L22" i="2"/>
  <c r="K23" i="2"/>
  <c r="L23" i="2"/>
  <c r="L24" i="2"/>
  <c r="L25" i="2"/>
  <c r="L26" i="2"/>
  <c r="K27" i="2"/>
  <c r="L27" i="2"/>
  <c r="L28" i="2"/>
  <c r="L29" i="2"/>
  <c r="L30" i="2"/>
  <c r="K33" i="2"/>
  <c r="L33" i="2"/>
  <c r="L34" i="2"/>
  <c r="L35" i="2"/>
  <c r="L36" i="2"/>
  <c r="L37" i="2"/>
  <c r="L38" i="2"/>
  <c r="L39" i="2"/>
  <c r="L40" i="2"/>
  <c r="K43" i="2"/>
  <c r="L43" i="2"/>
  <c r="K46" i="2"/>
  <c r="L46" i="2"/>
  <c r="K47" i="2"/>
  <c r="L47" i="2"/>
  <c r="K48" i="2"/>
  <c r="L48" i="2"/>
  <c r="D44" i="2" l="1"/>
  <c r="H7" i="2"/>
  <c r="I7" i="2"/>
  <c r="E8" i="4" l="1"/>
  <c r="C11" i="4"/>
  <c r="D9" i="4"/>
  <c r="D7" i="4" s="1"/>
  <c r="C7" i="4"/>
  <c r="D40" i="2"/>
  <c r="D32" i="2"/>
  <c r="D41" i="2" s="1"/>
  <c r="D26" i="2"/>
  <c r="D20" i="2"/>
  <c r="D13" i="2"/>
  <c r="D21" i="2" s="1"/>
  <c r="E9" i="4" l="1"/>
  <c r="E7" i="4" s="1"/>
  <c r="D42" i="2"/>
  <c r="L19" i="10"/>
  <c r="L30" i="10" s="1"/>
  <c r="M25" i="10"/>
  <c r="M27" i="10" s="1"/>
  <c r="N25" i="10"/>
  <c r="N26" i="10"/>
  <c r="I27" i="10"/>
  <c r="N24" i="10"/>
  <c r="N23" i="10"/>
  <c r="K25" i="10"/>
  <c r="K27" i="10"/>
  <c r="K30" i="10" s="1"/>
  <c r="J27" i="10"/>
  <c r="J25" i="10"/>
  <c r="M24" i="10"/>
  <c r="J22" i="10"/>
  <c r="J23" i="10"/>
  <c r="N22" i="10"/>
  <c r="J24" i="10"/>
  <c r="I25" i="10"/>
  <c r="L27" i="10"/>
  <c r="M23" i="10"/>
  <c r="M22" i="10" s="1"/>
  <c r="K22" i="10"/>
  <c r="L22" i="10"/>
  <c r="L29" i="10"/>
  <c r="J29" i="10"/>
  <c r="K29" i="10"/>
  <c r="M29" i="10"/>
  <c r="N29" i="10"/>
  <c r="I29" i="10"/>
  <c r="I30" i="10"/>
  <c r="I23" i="10"/>
  <c r="I22" i="10"/>
  <c r="K24" i="10"/>
  <c r="I24" i="10"/>
  <c r="O19" i="10"/>
  <c r="I19" i="10"/>
  <c r="M19" i="10"/>
  <c r="N14" i="10"/>
  <c r="N15" i="10"/>
  <c r="N16" i="10"/>
  <c r="N17" i="10"/>
  <c r="N18" i="10"/>
  <c r="M13" i="10"/>
  <c r="J13" i="10"/>
  <c r="L13" i="10"/>
  <c r="L12" i="10" s="1"/>
  <c r="M15" i="10"/>
  <c r="M14" i="10"/>
  <c r="I12" i="10"/>
  <c r="K12" i="10"/>
  <c r="L18" i="10"/>
  <c r="L14" i="10"/>
  <c r="J12" i="10"/>
  <c r="K19" i="10"/>
  <c r="K18" i="10"/>
  <c r="J15" i="10"/>
  <c r="J18" i="10"/>
  <c r="J14" i="10"/>
  <c r="K13" i="10"/>
  <c r="I13" i="10"/>
  <c r="I14" i="10"/>
  <c r="M30" i="10" l="1"/>
  <c r="N27" i="10"/>
  <c r="P27" i="10"/>
  <c r="J30" i="10"/>
  <c r="N13" i="10"/>
  <c r="M12" i="10"/>
  <c r="J19" i="10"/>
  <c r="N19" i="10" s="1"/>
  <c r="N30" i="10" l="1"/>
  <c r="F15" i="1"/>
  <c r="G15" i="1"/>
  <c r="C29" i="7" l="1"/>
  <c r="C28" i="7"/>
  <c r="D38" i="7"/>
  <c r="D32" i="7"/>
  <c r="C38" i="7" l="1"/>
  <c r="C33" i="7"/>
  <c r="C32" i="7"/>
  <c r="C57" i="7"/>
  <c r="C37" i="7"/>
  <c r="C34" i="7"/>
  <c r="C26" i="7"/>
  <c r="C24" i="7"/>
  <c r="F130" i="5"/>
  <c r="F28" i="2" l="1"/>
  <c r="D22" i="7" l="1"/>
  <c r="C89" i="7"/>
  <c r="D78" i="7"/>
  <c r="D85" i="7" s="1"/>
  <c r="C78" i="7"/>
  <c r="D72" i="7"/>
  <c r="C72" i="7"/>
  <c r="C55" i="7"/>
  <c r="D55" i="7"/>
  <c r="D41" i="7"/>
  <c r="C41" i="7"/>
  <c r="D30" i="7"/>
  <c r="C30" i="7" l="1"/>
  <c r="C22" i="7"/>
  <c r="D39" i="7"/>
  <c r="C70" i="7"/>
  <c r="C85" i="7"/>
  <c r="D70" i="7"/>
  <c r="C39" i="7" l="1"/>
  <c r="D88" i="7"/>
  <c r="D90" i="7" s="1"/>
  <c r="C88" i="7" l="1"/>
  <c r="C90" i="7" s="1"/>
  <c r="C31" i="3" l="1"/>
  <c r="C32" i="3"/>
  <c r="C34" i="3"/>
  <c r="C35" i="3"/>
  <c r="K31" i="3"/>
  <c r="C33" i="3" l="1"/>
  <c r="J27" i="3"/>
  <c r="C25" i="3" s="1"/>
  <c r="J22" i="3"/>
  <c r="C15" i="3" s="1"/>
  <c r="C43" i="3" s="1"/>
  <c r="K21" i="3"/>
  <c r="J21" i="3"/>
  <c r="J15" i="3" l="1"/>
  <c r="C11" i="3" s="1"/>
  <c r="D17" i="3" l="1"/>
  <c r="D24" i="3" s="1"/>
  <c r="D28" i="3" s="1"/>
  <c r="C40" i="3"/>
  <c r="D40" i="3"/>
  <c r="D35" i="3"/>
  <c r="D42" i="3" l="1"/>
  <c r="D45" i="3"/>
  <c r="C44" i="3" s="1"/>
  <c r="C5" i="1" l="1"/>
  <c r="C11" i="1" l="1"/>
  <c r="K11" i="2" l="1"/>
  <c r="K10" i="2"/>
  <c r="K17" i="2" l="1"/>
  <c r="C17" i="2" s="1"/>
  <c r="C19" i="3" s="1"/>
  <c r="K6" i="2" l="1"/>
  <c r="C6" i="2" s="1"/>
  <c r="K8" i="2" l="1"/>
  <c r="C8" i="2" s="1"/>
  <c r="C9" i="1" l="1"/>
  <c r="C8" i="1"/>
  <c r="C14" i="1"/>
  <c r="C9" i="3" s="1"/>
  <c r="C38" i="5"/>
  <c r="C16" i="1"/>
  <c r="C12" i="1"/>
  <c r="K28" i="2"/>
  <c r="C28" i="2" s="1"/>
  <c r="K36" i="2"/>
  <c r="C36" i="2" s="1"/>
  <c r="K30" i="2"/>
  <c r="C30" i="2" s="1"/>
  <c r="K29" i="2"/>
  <c r="C29" i="2" s="1"/>
  <c r="C10" i="5"/>
  <c r="K34" i="2"/>
  <c r="C34" i="2" s="1"/>
  <c r="C18" i="1" l="1"/>
  <c r="K19" i="2"/>
  <c r="C19" i="2" s="1"/>
  <c r="C20" i="3" s="1"/>
  <c r="C7" i="5"/>
  <c r="K37" i="2"/>
  <c r="C37" i="2" s="1"/>
  <c r="C15" i="1"/>
  <c r="C10" i="3" s="1"/>
  <c r="K35" i="2"/>
  <c r="C35" i="2" s="1"/>
  <c r="K16" i="2"/>
  <c r="C16" i="2" s="1"/>
  <c r="C18" i="3" s="1"/>
  <c r="K38" i="2"/>
  <c r="C38" i="2" s="1"/>
  <c r="K39" i="2"/>
  <c r="C39" i="2" s="1"/>
  <c r="C22" i="3" s="1"/>
  <c r="K12" i="2"/>
  <c r="C12" i="2" s="1"/>
  <c r="C40" i="2" l="1"/>
  <c r="C21" i="3"/>
  <c r="C6" i="1"/>
  <c r="C7" i="1"/>
  <c r="K25" i="2"/>
  <c r="C25" i="2" s="1"/>
  <c r="K7" i="2"/>
  <c r="C7" i="2" s="1"/>
  <c r="C10" i="1"/>
  <c r="K15" i="2"/>
  <c r="C15" i="2" s="1"/>
  <c r="L31" i="2"/>
  <c r="K40" i="2"/>
  <c r="K9" i="2"/>
  <c r="C9" i="2" s="1"/>
  <c r="C19" i="5"/>
  <c r="C16" i="5"/>
  <c r="C13" i="2" l="1"/>
  <c r="K32" i="2"/>
  <c r="K31" i="2"/>
  <c r="C31" i="2" s="1"/>
  <c r="C32" i="2" s="1"/>
  <c r="C41" i="2" s="1"/>
  <c r="K26" i="2"/>
  <c r="K24" i="2"/>
  <c r="C24" i="2" s="1"/>
  <c r="C26" i="2" s="1"/>
  <c r="F26" i="2" s="1"/>
  <c r="C18" i="5"/>
  <c r="K20" i="2"/>
  <c r="K18" i="2"/>
  <c r="C18" i="2" s="1"/>
  <c r="C20" i="2" s="1"/>
  <c r="C21" i="2" s="1"/>
  <c r="L32" i="2"/>
  <c r="C5" i="5"/>
  <c r="C17" i="5"/>
  <c r="C15" i="5"/>
  <c r="K42" i="2" l="1"/>
  <c r="C44" i="2"/>
  <c r="C13" i="1"/>
  <c r="C42" i="2"/>
  <c r="K21" i="2"/>
  <c r="K13" i="2"/>
  <c r="L41" i="2"/>
  <c r="K41" i="2" l="1"/>
  <c r="C17" i="1"/>
  <c r="C7" i="3" s="1"/>
  <c r="C17" i="3" s="1"/>
  <c r="C24" i="3" s="1"/>
  <c r="C28" i="3" s="1"/>
  <c r="C42" i="3" s="1"/>
  <c r="C45" i="3" s="1"/>
  <c r="K45" i="2"/>
  <c r="K44" i="2"/>
  <c r="L44" i="2"/>
  <c r="L45" i="2" l="1"/>
  <c r="L42" i="2"/>
  <c r="C19" i="1"/>
  <c r="C21" i="1" l="1"/>
  <c r="C23" i="1"/>
  <c r="C29" i="5"/>
  <c r="C25" i="5"/>
  <c r="F27" i="2" l="1"/>
  <c r="F30" i="2" s="1"/>
  <c r="D10" i="4"/>
  <c r="E10" i="4" l="1"/>
  <c r="D11" i="4"/>
  <c r="E11" i="4" s="1"/>
  <c r="F11" i="4" s="1"/>
  <c r="C13" i="5" l="1"/>
  <c r="C9" i="5" l="1"/>
  <c r="C14" i="5" l="1"/>
  <c r="C20" i="5" l="1"/>
  <c r="C23" i="5" l="1"/>
  <c r="C36" i="5" l="1"/>
  <c r="C39" i="5" l="1"/>
</calcChain>
</file>

<file path=xl/sharedStrings.xml><?xml version="1.0" encoding="utf-8"?>
<sst xmlns="http://schemas.openxmlformats.org/spreadsheetml/2006/main" count="548" uniqueCount="391">
  <si>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</si>
  <si>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</si>
  <si>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</si>
  <si>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</si>
  <si>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</si>
  <si>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</si>
  <si>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</si>
  <si>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</si>
  <si>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</si>
  <si>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</si>
  <si>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</si>
  <si>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</si>
  <si>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</si>
  <si>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</si>
  <si>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</si>
  <si>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(убыток) до налогообложения</t>
  </si>
  <si>
    <t>(Расходы) экономия по подоходному налогу</t>
  </si>
  <si>
    <t>10(а)</t>
  </si>
  <si>
    <t>Прочий совокупный доход</t>
  </si>
  <si>
    <t>–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</si>
  <si>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</si>
  <si>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</si>
  <si>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</si>
  <si>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</si>
  <si>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</si>
  <si>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</si>
  <si>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</si>
  <si>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</si>
  <si>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>АКТИВЫ</t>
  </si>
  <si>
    <t>Внеоборотные активы</t>
  </si>
  <si>
    <t>Основные средства</t>
  </si>
  <si>
    <t>Актив в форме права пользования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</si>
  <si>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</si>
  <si>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</si>
  <si>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</si>
  <si>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</si>
  <si>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</si>
  <si>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</si>
  <si>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</si>
  <si>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</si>
  <si>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</si>
  <si>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</si>
  <si>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</si>
  <si>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</si>
  <si>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</si>
  <si>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</si>
  <si>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</si>
  <si>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</si>
  <si>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</si>
  <si>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</si>
  <si>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</si>
  <si>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</si>
  <si>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</si>
  <si>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</si>
  <si>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</si>
  <si>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</si>
  <si>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</si>
  <si>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</si>
  <si>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</si>
  <si>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</si>
  <si>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</si>
  <si>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</si>
  <si>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</si>
  <si>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</si>
  <si>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</si>
  <si>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</si>
  <si>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</si>
  <si>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</si>
  <si>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</si>
  <si>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</si>
  <si>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</si>
  <si>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</si>
  <si>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</si>
  <si>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</si>
  <si>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</si>
  <si>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</si>
  <si>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</si>
  <si>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</si>
  <si>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</si>
  <si>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</si>
  <si>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</si>
  <si>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</si>
  <si>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</si>
  <si>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</si>
  <si>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</si>
  <si>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</si>
  <si>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</si>
  <si>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</si>
  <si>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</si>
  <si>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</si>
  <si>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</si>
  <si>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</si>
  <si>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</si>
  <si>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</si>
  <si>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</si>
  <si>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</si>
  <si>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</si>
  <si>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</si>
  <si>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</si>
  <si>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</si>
  <si>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Итого</t>
  </si>
  <si>
    <t>Чистый доход за год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</si>
  <si>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</si>
  <si>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</si>
  <si>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</si>
  <si>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</si>
  <si>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</si>
  <si>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</si>
  <si>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</si>
  <si>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</si>
  <si>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</si>
  <si>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</si>
  <si>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</si>
  <si>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</si>
  <si>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</si>
  <si>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</si>
  <si>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</si>
  <si>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</si>
  <si>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</si>
  <si>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 xml:space="preserve">АО "Горнорудная Компания "Бенкала"  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</si>
  <si>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</si>
  <si>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</si>
  <si>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</si>
  <si>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</si>
  <si>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</si>
  <si>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</si>
  <si>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</si>
  <si>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</si>
  <si>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</si>
  <si>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</si>
  <si>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</si>
  <si>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</si>
  <si>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</si>
  <si>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</si>
  <si>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</si>
  <si>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</si>
  <si>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</si>
  <si>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</si>
  <si>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</si>
  <si>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</si>
  <si>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</si>
  <si>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</si>
  <si>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</si>
  <si>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</si>
  <si>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</si>
  <si>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</si>
  <si>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</si>
  <si>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</si>
  <si>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</si>
  <si>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</si>
  <si>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</si>
  <si>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</si>
  <si>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</si>
  <si>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</si>
  <si>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</si>
  <si>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</si>
  <si>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</si>
  <si>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</si>
  <si>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</si>
  <si>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</si>
  <si>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</si>
  <si>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</si>
  <si>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</si>
  <si>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</si>
  <si>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</si>
  <si>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</si>
  <si>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</si>
  <si>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</si>
  <si>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</si>
  <si>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</si>
  <si>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</si>
  <si>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</si>
  <si>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</si>
  <si>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</si>
  <si>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</si>
  <si>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</si>
  <si>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</si>
  <si>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</si>
  <si>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</si>
  <si>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</si>
  <si>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</si>
  <si>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</si>
  <si>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</si>
  <si>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</si>
  <si>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</si>
  <si>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</si>
  <si>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</si>
  <si>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</si>
  <si>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</si>
  <si>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</si>
  <si>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</si>
  <si>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</si>
  <si>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</si>
  <si>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</si>
  <si>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</si>
  <si>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</si>
  <si>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</si>
  <si>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</si>
  <si>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</si>
  <si>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</si>
  <si>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</si>
  <si>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</si>
  <si>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</si>
  <si>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</si>
  <si>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</si>
  <si>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</si>
  <si>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</si>
  <si>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</si>
  <si>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</si>
  <si>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</si>
  <si>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</si>
  <si>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</si>
  <si>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</si>
  <si>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</si>
  <si>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</si>
  <si>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</si>
  <si>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</si>
  <si>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</si>
  <si>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</si>
  <si>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</si>
  <si>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</si>
  <si>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</si>
  <si>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</si>
  <si>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</si>
  <si>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</si>
  <si>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</si>
  <si>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</si>
  <si>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</si>
  <si>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</si>
  <si>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</si>
  <si>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</si>
  <si>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</si>
  <si>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</si>
  <si>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</si>
  <si>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</si>
  <si>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</si>
  <si>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</si>
  <si>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</si>
  <si>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</si>
  <si>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</si>
  <si>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</si>
  <si>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</si>
  <si>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</si>
  <si>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</si>
  <si>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                                          (фамилия, имя, отчество (при его наличии))                           (подпись)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</si>
  <si>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</si>
  <si>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</si>
  <si>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31 марта 2022 года</t>
  </si>
  <si>
    <t>На 31 декабря 2021</t>
  </si>
  <si>
    <t>Прочие операционные доходы, нетто</t>
  </si>
  <si>
    <t>долгоср.фин.актив</t>
  </si>
  <si>
    <t>Чистый доход за период</t>
  </si>
  <si>
    <t>Наименование организации АО "Горнорудная Компания "Бенкала"</t>
  </si>
  <si>
    <t>Руководитель ___________Акжолов Б.Ж.________________________________ _____________</t>
  </si>
  <si>
    <t>Главный бухгалтер _____________Кустанова А.Е.________________________ _____________</t>
  </si>
  <si>
    <t>АО «Горнорудная Компания «Бенкала»</t>
  </si>
  <si>
    <t>Параметры:</t>
  </si>
  <si>
    <t>Валюта БУ, НУ: KZT</t>
  </si>
  <si>
    <t>Счет, Наименование счета</t>
  </si>
  <si>
    <t>Дебет</t>
  </si>
  <si>
    <t>Кредит</t>
  </si>
  <si>
    <t>1000, Денежные средства</t>
  </si>
  <si>
    <t>Кор. Счет</t>
  </si>
  <si>
    <t>Начальное сальдо</t>
  </si>
  <si>
    <t>1</t>
  </si>
  <si>
    <t>1000</t>
  </si>
  <si>
    <t>1020</t>
  </si>
  <si>
    <t>1022</t>
  </si>
  <si>
    <t>1200</t>
  </si>
  <si>
    <t>1210</t>
  </si>
  <si>
    <t>1270</t>
  </si>
  <si>
    <t>1274</t>
  </si>
  <si>
    <t>Оборот</t>
  </si>
  <si>
    <t>Конечное сальдо</t>
  </si>
  <si>
    <t>аренда</t>
  </si>
  <si>
    <t>1250</t>
  </si>
  <si>
    <t>3</t>
  </si>
  <si>
    <t>3300</t>
  </si>
  <si>
    <t>3310</t>
  </si>
  <si>
    <t>3380</t>
  </si>
  <si>
    <t>3388</t>
  </si>
  <si>
    <t>3388.1</t>
  </si>
  <si>
    <t>Доход по курсовой разнице</t>
  </si>
  <si>
    <t>Прочее</t>
  </si>
  <si>
    <t>Чистые денежные средства от операционной деятельности</t>
  </si>
  <si>
    <t>провизии</t>
  </si>
  <si>
    <t>1021</t>
  </si>
  <si>
    <t>1030</t>
  </si>
  <si>
    <t>1050</t>
  </si>
  <si>
    <t>1251</t>
  </si>
  <si>
    <t>1400</t>
  </si>
  <si>
    <t>1420</t>
  </si>
  <si>
    <t>1421</t>
  </si>
  <si>
    <t>1700</t>
  </si>
  <si>
    <t>1710</t>
  </si>
  <si>
    <t>3100</t>
  </si>
  <si>
    <t>3110</t>
  </si>
  <si>
    <t>3111</t>
  </si>
  <si>
    <t>3112</t>
  </si>
  <si>
    <t>3120</t>
  </si>
  <si>
    <t>3130</t>
  </si>
  <si>
    <t>3132</t>
  </si>
  <si>
    <t>3132.3</t>
  </si>
  <si>
    <t>3132.4</t>
  </si>
  <si>
    <t>3132.5</t>
  </si>
  <si>
    <t>3150</t>
  </si>
  <si>
    <t>3160</t>
  </si>
  <si>
    <t>3170</t>
  </si>
  <si>
    <t>3180</t>
  </si>
  <si>
    <t>3190</t>
  </si>
  <si>
    <t>3200</t>
  </si>
  <si>
    <t>3210</t>
  </si>
  <si>
    <t>3211</t>
  </si>
  <si>
    <t>3212</t>
  </si>
  <si>
    <t>3213</t>
  </si>
  <si>
    <t>3220</t>
  </si>
  <si>
    <t>3221</t>
  </si>
  <si>
    <t>3222</t>
  </si>
  <si>
    <t>3230</t>
  </si>
  <si>
    <t>3350</t>
  </si>
  <si>
    <t>3385</t>
  </si>
  <si>
    <t>3500</t>
  </si>
  <si>
    <t>3510</t>
  </si>
  <si>
    <t>6</t>
  </si>
  <si>
    <t>6200</t>
  </si>
  <si>
    <t>6250</t>
  </si>
  <si>
    <t>6290</t>
  </si>
  <si>
    <t>7</t>
  </si>
  <si>
    <t>7400</t>
  </si>
  <si>
    <t>7430</t>
  </si>
  <si>
    <t>7480</t>
  </si>
  <si>
    <t>нереализ.убыток от курсовой</t>
  </si>
  <si>
    <t>за период, заканчивающийся 30 июня 2022 года</t>
  </si>
  <si>
    <t xml:space="preserve">Обязательства по займам </t>
  </si>
  <si>
    <t>Чистый доход (убыток) за период</t>
  </si>
  <si>
    <t>Общий совокупный доход (убыток) за период</t>
  </si>
  <si>
    <t>Получение займов</t>
  </si>
  <si>
    <t>Выплата вознаграждения</t>
  </si>
  <si>
    <t>отчетный период за 1-полугодие 2022 года</t>
  </si>
  <si>
    <t>На 30 сентября 2022</t>
  </si>
  <si>
    <t>Земля, здания и сооружения</t>
  </si>
  <si>
    <t>Машины и оборудование</t>
  </si>
  <si>
    <t>Транспортные</t>
  </si>
  <si>
    <t>средства</t>
  </si>
  <si>
    <t>Незавершенное капитальное строительство</t>
  </si>
  <si>
    <t>Стоимость</t>
  </si>
  <si>
    <t>На 1 января 2021</t>
  </si>
  <si>
    <t>Поступление</t>
  </si>
  <si>
    <t>Внутреннее перемещение</t>
  </si>
  <si>
    <t>Изменения в оценочных обязательствах</t>
  </si>
  <si>
    <t>Выбытие</t>
  </si>
  <si>
    <t xml:space="preserve">–   </t>
  </si>
  <si>
    <t xml:space="preserve">                 –        </t>
  </si>
  <si>
    <t>Износ и обесценение</t>
  </si>
  <si>
    <t>Начисление износа</t>
  </si>
  <si>
    <t>Балансовая стоимость</t>
  </si>
  <si>
    <t>рекласс.авансов на 2910</t>
  </si>
  <si>
    <t>рекласс авансов по аудиту</t>
  </si>
  <si>
    <t>Обязательства по займам</t>
  </si>
  <si>
    <t>Главный бухгалтер</t>
  </si>
  <si>
    <t>Кустанова А.Е.</t>
  </si>
  <si>
    <t xml:space="preserve">     АО «Горнорудная Компания «Бенкала»                                                               АО «Горнорудная Компания «Бенкала»</t>
  </si>
  <si>
    <t xml:space="preserve">     АО «Горнорудная Компания «Бенкала»                                                          </t>
  </si>
  <si>
    <t xml:space="preserve"> на 31.12.2022</t>
  </si>
  <si>
    <t>21(а)</t>
  </si>
  <si>
    <t>21(б)</t>
  </si>
  <si>
    <t>Обязательства по контрактам на недропользование - краткосрочные</t>
  </si>
  <si>
    <t>Арендные обязательства - краткосрочные</t>
  </si>
  <si>
    <t xml:space="preserve">      Данная финансовая отчетность утверждена руководством  Компании 10.05.2023 года и подписана от его имени:</t>
  </si>
  <si>
    <t xml:space="preserve">     АО «Горнорудная Компания «Бенкала»                                                   АО «Горнорудная Компания «Бенкала»</t>
  </si>
  <si>
    <t>Восстановление убытков от обесценения</t>
  </si>
  <si>
    <t>Нереализованный убыток (доход) от курсовой разницы</t>
  </si>
  <si>
    <t>Восстановление резерва по обесценению дебиторской зад-ти</t>
  </si>
  <si>
    <t>Приобретение основных средств в счет кредиторской задолженности</t>
  </si>
  <si>
    <t xml:space="preserve">    АО «Горнорудная Компания «Бенкала»                                                               АО «Горнорудная Компания «Бенкала»</t>
  </si>
  <si>
    <t>Нераспреде-ленный доход</t>
  </si>
  <si>
    <t>На 31 декабря 2022</t>
  </si>
  <si>
    <t>Доб.актив</t>
  </si>
  <si>
    <t>на 31.03.23</t>
  </si>
  <si>
    <t>на 31.12.23</t>
  </si>
  <si>
    <t>На 1 января 2022</t>
  </si>
  <si>
    <t xml:space="preserve"> на 30.06.2023</t>
  </si>
  <si>
    <t xml:space="preserve">      Данная финансовая отчетность утверждена руководством  Компании 10.08.2023 года и подписана от его имени: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</si>
  <si>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30 июня 2023 года</t>
  </si>
  <si>
    <t>Отчет о движении денежных средств за период,   закончившийся 30 июня 2023 года</t>
  </si>
  <si>
    <t>Отчет об изменениях в собственном капитале за период, закончившийся 30 июня 2023 года</t>
  </si>
  <si>
    <t>1 п/г 2023</t>
  </si>
  <si>
    <t>1 п/г 2022</t>
  </si>
  <si>
    <t>На 30 июня 2023</t>
  </si>
  <si>
    <t>Отчет о финансовом положении                                                                                                                                          за период, закончившийся 30 июня 2023 года</t>
  </si>
  <si>
    <t xml:space="preserve">     АО «Горнорудная Компания «Бенкала»                                                    АО «Горнорудная Компания «Бенкала»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</si>
</sst>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#,##0.0"/>
    <numFmt numFmtId="167" formatCode="#,##0_ ;\-#,##0\ 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Helv"/>
    </font>
    <font>
      <sz val="10"/>
      <name val="Helv"/>
    </font>
    <font>
      <b/>
      <sz val="8"/>
      <name val="Arial"/>
      <family val="2"/>
      <charset val="204"/>
    </font>
    <font>
      <b/>
      <sz val="4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C00000"/>
      <name val="Arial"/>
      <family val="2"/>
      <charset val="204"/>
    </font>
    <font>
      <sz val="8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30" fillId="0" borderId="0"/>
    <xf numFmtId="0" fontId="33" fillId="0" borderId="0"/>
    <xf numFmtId="0" fontId="34" fillId="0" borderId="0"/>
    <xf numFmtId="0" fontId="33" fillId="0" borderId="0"/>
    <xf numFmtId="0" fontId="35" fillId="0" borderId="0"/>
    <xf numFmtId="0" fontId="30" fillId="0" borderId="0"/>
    <xf numFmtId="0" fontId="30" fillId="0" borderId="0"/>
    <xf numFmtId="0" fontId="30" fillId="0" borderId="0"/>
  </cellStyleXfs>
  <cellXfs count="182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3" fontId="6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6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/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164" fontId="6" fillId="0" borderId="0" xfId="1" applyNumberFormat="1" applyFont="1" applyFill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13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165" fontId="0" fillId="0" borderId="0" xfId="0" applyNumberFormat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7" fillId="0" borderId="0" xfId="0" applyNumberFormat="1" applyFont="1" applyAlignment="1">
      <alignment horizontal="left" vertical="center" wrapText="1"/>
    </xf>
    <xf numFmtId="3" fontId="17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24" fillId="0" borderId="0" xfId="3" applyFont="1"/>
    <xf numFmtId="3" fontId="24" fillId="0" borderId="0" xfId="3" applyNumberFormat="1" applyFont="1"/>
    <xf numFmtId="0" fontId="22" fillId="0" borderId="0" xfId="3"/>
    <xf numFmtId="3" fontId="22" fillId="0" borderId="0" xfId="3" applyNumberFormat="1"/>
    <xf numFmtId="0" fontId="28" fillId="0" borderId="0" xfId="3" applyFont="1"/>
    <xf numFmtId="3" fontId="28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3" fontId="9" fillId="0" borderId="0" xfId="0" applyNumberFormat="1" applyFont="1" applyAlignment="1">
      <alignment vertical="center" wrapText="1"/>
    </xf>
    <xf numFmtId="0" fontId="6" fillId="0" borderId="0" xfId="3" applyFont="1" applyAlignment="1">
      <alignment horizontal="justify" vertical="center"/>
    </xf>
    <xf numFmtId="0" fontId="6" fillId="0" borderId="5" xfId="3" applyFont="1" applyBorder="1" applyAlignment="1">
      <alignment vertical="top" wrapText="1"/>
    </xf>
    <xf numFmtId="3" fontId="8" fillId="0" borderId="5" xfId="3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29" fillId="0" borderId="0" xfId="1" applyNumberFormat="1" applyFont="1" applyFill="1" applyAlignment="1">
      <alignment horizontal="right" vertical="center" wrapText="1"/>
    </xf>
    <xf numFmtId="0" fontId="30" fillId="0" borderId="0" xfId="10"/>
    <xf numFmtId="0" fontId="32" fillId="0" borderId="0" xfId="10" applyFont="1" applyAlignment="1">
      <alignment vertical="top"/>
    </xf>
    <xf numFmtId="0" fontId="32" fillId="3" borderId="10" xfId="10" applyFont="1" applyFill="1" applyBorder="1" applyAlignment="1">
      <alignment vertical="top" wrapText="1"/>
    </xf>
    <xf numFmtId="0" fontId="31" fillId="4" borderId="10" xfId="10" applyFont="1" applyFill="1" applyBorder="1" applyAlignment="1">
      <alignment vertical="top" wrapText="1"/>
    </xf>
    <xf numFmtId="4" fontId="31" fillId="4" borderId="10" xfId="10" applyNumberFormat="1" applyFont="1" applyFill="1" applyBorder="1" applyAlignment="1">
      <alignment horizontal="right" vertical="top" wrapText="1"/>
    </xf>
    <xf numFmtId="0" fontId="31" fillId="4" borderId="10" xfId="10" applyFont="1" applyFill="1" applyBorder="1" applyAlignment="1">
      <alignment horizontal="right" vertical="top" wrapText="1"/>
    </xf>
    <xf numFmtId="0" fontId="30" fillId="0" borderId="10" xfId="10" applyBorder="1" applyAlignment="1">
      <alignment vertical="top"/>
    </xf>
    <xf numFmtId="0" fontId="30" fillId="0" borderId="10" xfId="10" applyBorder="1" applyAlignment="1">
      <alignment vertical="top" wrapText="1" indent="1"/>
    </xf>
    <xf numFmtId="4" fontId="30" fillId="0" borderId="10" xfId="10" applyNumberFormat="1" applyBorder="1" applyAlignment="1">
      <alignment horizontal="right" vertical="top" wrapText="1"/>
    </xf>
    <xf numFmtId="0" fontId="30" fillId="0" borderId="10" xfId="10" applyBorder="1" applyAlignment="1">
      <alignment vertical="top" wrapText="1" indent="2"/>
    </xf>
    <xf numFmtId="0" fontId="30" fillId="0" borderId="10" xfId="10" applyBorder="1" applyAlignment="1">
      <alignment vertical="top" wrapText="1" indent="3"/>
    </xf>
    <xf numFmtId="0" fontId="30" fillId="0" borderId="10" xfId="10" applyBorder="1" applyAlignment="1">
      <alignment vertical="top" wrapText="1" indent="4"/>
    </xf>
    <xf numFmtId="0" fontId="30" fillId="0" borderId="10" xfId="10" applyBorder="1" applyAlignment="1">
      <alignment horizontal="right" vertical="top" wrapText="1"/>
    </xf>
    <xf numFmtId="0" fontId="30" fillId="0" borderId="10" xfId="10" applyBorder="1" applyAlignment="1">
      <alignment vertical="top" wrapText="1" indent="5"/>
    </xf>
    <xf numFmtId="0" fontId="36" fillId="4" borderId="10" xfId="10" applyFont="1" applyFill="1" applyBorder="1" applyAlignment="1">
      <alignment vertical="top"/>
    </xf>
    <xf numFmtId="0" fontId="36" fillId="4" borderId="10" xfId="10" applyFont="1" applyFill="1" applyBorder="1" applyAlignment="1">
      <alignment vertical="top" wrapText="1"/>
    </xf>
    <xf numFmtId="4" fontId="36" fillId="4" borderId="10" xfId="10" applyNumberFormat="1" applyFont="1" applyFill="1" applyBorder="1" applyAlignment="1">
      <alignment horizontal="right" vertical="top" wrapText="1"/>
    </xf>
    <xf numFmtId="0" fontId="36" fillId="4" borderId="10" xfId="10" applyFont="1" applyFill="1" applyBorder="1" applyAlignment="1">
      <alignment horizontal="right" vertical="top" wrapText="1"/>
    </xf>
    <xf numFmtId="167" fontId="6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9" fillId="0" borderId="0" xfId="1" applyNumberFormat="1" applyFont="1" applyFill="1" applyAlignment="1">
      <alignment vertical="center" wrapText="1"/>
    </xf>
    <xf numFmtId="3" fontId="9" fillId="0" borderId="0" xfId="1" applyNumberFormat="1" applyFont="1" applyFill="1" applyBorder="1" applyAlignment="1">
      <alignment vertical="center" wrapText="1"/>
    </xf>
    <xf numFmtId="4" fontId="30" fillId="0" borderId="10" xfId="9" applyNumberFormat="1" applyBorder="1" applyAlignment="1">
      <alignment horizontal="right" vertical="top" wrapText="1"/>
    </xf>
    <xf numFmtId="0" fontId="19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left" vertical="center" wrapText="1" indent="2"/>
    </xf>
    <xf numFmtId="3" fontId="39" fillId="0" borderId="0" xfId="0" applyNumberFormat="1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 indent="2"/>
    </xf>
    <xf numFmtId="3" fontId="6" fillId="5" borderId="0" xfId="0" applyNumberFormat="1" applyFont="1" applyFill="1" applyAlignment="1">
      <alignment horizontal="right" vertical="center" wrapText="1"/>
    </xf>
    <xf numFmtId="3" fontId="3" fillId="5" borderId="0" xfId="0" applyNumberFormat="1" applyFont="1" applyFill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5" borderId="2" xfId="0" applyNumberFormat="1" applyFont="1" applyFill="1" applyBorder="1" applyAlignment="1">
      <alignment horizontal="left" vertical="center" wrapText="1"/>
    </xf>
    <xf numFmtId="3" fontId="7" fillId="5" borderId="2" xfId="0" applyNumberFormat="1" applyFont="1" applyFill="1" applyBorder="1" applyAlignment="1">
      <alignment horizontal="left" vertical="center" wrapText="1" indent="2"/>
    </xf>
    <xf numFmtId="3" fontId="7" fillId="5" borderId="2" xfId="0" applyNumberFormat="1" applyFont="1" applyFill="1" applyBorder="1" applyAlignment="1">
      <alignment horizontal="right" vertical="center" wrapText="1"/>
    </xf>
    <xf numFmtId="3" fontId="13" fillId="5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164" fontId="40" fillId="0" borderId="0" xfId="1" applyNumberFormat="1" applyFont="1" applyAlignment="1">
      <alignment horizontal="left" vertical="center" wrapText="1"/>
    </xf>
    <xf numFmtId="164" fontId="6" fillId="0" borderId="0" xfId="1" applyNumberFormat="1" applyFont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4" fontId="40" fillId="0" borderId="0" xfId="0" applyNumberFormat="1" applyFont="1" applyAlignment="1">
      <alignment horizontal="left"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/>
    <xf numFmtId="166" fontId="43" fillId="0" borderId="0" xfId="0" applyNumberFormat="1" applyFont="1"/>
    <xf numFmtId="165" fontId="43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3" fillId="0" borderId="0" xfId="0" applyFont="1" applyAlignment="1">
      <alignment horizontal="left" vertical="center" wrapText="1" indent="1"/>
    </xf>
    <xf numFmtId="0" fontId="43" fillId="0" borderId="0" xfId="0" applyFont="1" applyAlignment="1">
      <alignment horizontal="left" vertical="center" wrapText="1"/>
    </xf>
    <xf numFmtId="3" fontId="43" fillId="0" borderId="0" xfId="0" applyNumberFormat="1" applyFont="1" applyAlignment="1">
      <alignment horizontal="right" vertical="center" wrapText="1"/>
    </xf>
    <xf numFmtId="3" fontId="43" fillId="6" borderId="0" xfId="0" applyNumberFormat="1" applyFont="1" applyFill="1" applyAlignment="1">
      <alignment horizontal="right" vertical="center" wrapText="1"/>
    </xf>
    <xf numFmtId="4" fontId="30" fillId="0" borderId="10" xfId="11" applyNumberFormat="1" applyBorder="1" applyAlignment="1">
      <alignment horizontal="right" vertical="top" wrapText="1"/>
    </xf>
    <xf numFmtId="0" fontId="20" fillId="0" borderId="0" xfId="0" applyFont="1" applyAlignment="1">
      <alignment vertical="center" wrapText="1"/>
    </xf>
    <xf numFmtId="3" fontId="2" fillId="0" borderId="0" xfId="0" applyNumberFormat="1" applyFont="1"/>
    <xf numFmtId="3" fontId="9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top"/>
    </xf>
    <xf numFmtId="0" fontId="23" fillId="0" borderId="0" xfId="3" applyFont="1" applyAlignment="1">
      <alignment horizontal="right" vertical="center"/>
    </xf>
    <xf numFmtId="0" fontId="25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justify" vertical="center"/>
    </xf>
    <xf numFmtId="0" fontId="6" fillId="0" borderId="4" xfId="3" applyFont="1" applyBorder="1" applyAlignment="1">
      <alignment horizontal="right" vertical="top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12">
    <cellStyle name="Normal 12" xfId="7" xr:uid="{07D0D54C-5443-4DB6-9294-C9A2B9E25069}"/>
    <cellStyle name="Style 1" xfId="8" xr:uid="{3BC27845-2E16-4E1E-A96D-6C5855424104}"/>
    <cellStyle name="Обычный" xfId="0" builtinId="0"/>
    <cellStyle name="Обычный 2" xfId="4" xr:uid="{09494A0D-EC12-49C9-8EAD-CDBE21C14B2F}"/>
    <cellStyle name="Обычный 2 2" xfId="5" xr:uid="{60D1055A-8797-4F06-9196-C6F3AA61DD36}"/>
    <cellStyle name="Обычный 3" xfId="3" xr:uid="{988C7B93-AAC4-4D61-93E3-A2BE5CF59CF9}"/>
    <cellStyle name="Обычный_ОДДС_К" xfId="10" xr:uid="{0581EB82-445D-42F8-8A0B-F25E4320CF36}"/>
    <cellStyle name="Обычный_ОДР и ПСД" xfId="9" xr:uid="{84025327-E50E-4616-8994-E4977E2F8920}"/>
    <cellStyle name="Обычный_ОСВ" xfId="11" xr:uid="{8B7F711C-4F9F-4421-AB76-14D67B94E90F}"/>
    <cellStyle name="Стиль 1" xfId="6" xr:uid="{449CA802-BF3C-4683-B286-8B23270FFB5A}"/>
    <cellStyle name="Финансовый" xfId="1" builtinId="3"/>
    <cellStyle name="Финансовый 2" xfId="2" xr:uid="{467AEFDC-49E8-41CC-80E9-CF627553A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91440</xdr:rowOff>
    </xdr:from>
    <xdr:to>
      <xdr:col>1</xdr:col>
      <xdr:colOff>205740</xdr:colOff>
      <xdr:row>0</xdr:row>
      <xdr:rowOff>198120</xdr:rowOff>
    </xdr:to>
    <xdr:pic>
      <xdr:nvPicPr>
        <xdr:cNvPr id="2" name="image41.png">
          <a:extLst>
            <a:ext uri="{FF2B5EF4-FFF2-40B4-BE49-F238E27FC236}">
              <a16:creationId xmlns:a16="http://schemas.microsoft.com/office/drawing/2014/main" id="{06AF8977-6CC1-A600-F325-8CB0F515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91440"/>
          <a:ext cx="1752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4capital-my.sharepoint.com/personal/dauren_orazayev_e4-capital_kz/Documents/E4%20-%20Capital/1%20Companies/2%20BEN/2%20Reporting%20and%20Budgeting/17.%20&#1052;&#1086;&#1085;&#1080;&#1090;&#1086;&#1088;&#1080;&#1085;&#1075;%20&#1073;&#1072;&#1085;&#1082;&#1072;/2023/2%20&#1082;&#1074;.%202023/01%20&#1060;&#1080;&#1085;&#1072;&#1085;&#1089;&#1086;&#1074;&#1099;&#1077;%20&#1076;&#1072;&#1085;&#1085;&#1099;&#1077;/&#1060;&#1054;%20&#1043;&#1056;&#1050;%20&#1041;&#1077;&#1085;&#1082;&#1072;&#1083;&#1072;%202%20&#1082;&#1074;.%202023_&#1088;&#1072;&#1089;&#1095;&#1077;&#1090;&#1099;.xlsx" TargetMode="External"/><Relationship Id="rId2" Type="http://schemas.microsoft.com/office/2019/04/relationships/externalLinkLongPath" Target="&#1060;&#1054;%20&#1043;&#1056;&#1050;%20&#1041;&#1077;&#1085;&#1082;&#1072;&#1083;&#1072;%202%20&#1082;&#1074;.%202023_&#1088;&#1072;&#1089;&#1095;&#1077;&#1090;&#1099;.xlsx?7AC6330B" TargetMode="External"/><Relationship Id="rId1" Type="http://schemas.openxmlformats.org/officeDocument/2006/relationships/externalLinkPath" Target="file:///\\7AC6330B\&#1060;&#1054;%20&#1043;&#1056;&#1050;%20&#1041;&#1077;&#1085;&#1082;&#1072;&#1083;&#1072;%202%20&#1082;&#1074;.%202023_&#1088;&#1072;&#1089;&#1095;&#1077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4capital-my.sharepoint.com/personal/dauren_orazayev_e4-capital_kz/Documents/E4%20-%20Capital/1%20Companies/2%20BEN/2%20Reporting%20and%20Budgeting/17.%20&#1052;&#1086;&#1085;&#1080;&#1090;&#1086;&#1088;&#1080;&#1085;&#1075;%20&#1073;&#1072;&#1085;&#1082;&#1072;/2023/1%20&#1082;&#1074;%202023/01%20&#1060;&#1080;&#1085;&#1072;&#1085;&#1089;&#1086;&#1074;&#1099;&#1077;%20&#1076;&#1072;&#1085;&#1085;&#1099;&#1077;/&#1060;&#1054;%20&#1043;&#1056;&#1050;%20&#1041;&#1077;&#1085;&#1082;&#1072;&#1083;&#1072;%201%20&#1082;&#1074;.%202023.xlsx" TargetMode="External"/><Relationship Id="rId2" Type="http://schemas.microsoft.com/office/2019/04/relationships/externalLinkLongPath" Target="&#1060;&#1054;%20&#1043;&#1056;&#1050;%20&#1041;&#1077;&#1085;&#1082;&#1072;&#1083;&#1072;%201%20&#1082;&#1074;.%202023.xlsx?7AC6330B" TargetMode="External"/><Relationship Id="rId1" Type="http://schemas.openxmlformats.org/officeDocument/2006/relationships/externalLinkPath" Target="file:///\\7AC6330B\&#1060;&#1054;%20&#1043;&#1056;&#1050;%20&#1041;&#1077;&#1085;&#1082;&#1072;&#1083;&#1072;%201%20&#1082;&#1074;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Содерж"/>
      <sheetName val="ОСВ"/>
      <sheetName val="ОДР и ПСД"/>
      <sheetName val="ОФП"/>
      <sheetName val="ОДДС_К"/>
      <sheetName val="Перевод в НЗС"/>
      <sheetName val="CF-1пг.2023"/>
      <sheetName val="ОИК"/>
      <sheetName val="3_Выручка"/>
      <sheetName val="4_Себест."/>
      <sheetName val="5_Расх.реал."/>
      <sheetName val="6_Адм. Р."/>
      <sheetName val="7_Прочие Р."/>
      <sheetName val="8_Обесц."/>
      <sheetName val="9_Фин.ДиР"/>
      <sheetName val="10_КПН, ОНО"/>
      <sheetName val="11_ОС"/>
      <sheetName val="ОСВ_2400"/>
      <sheetName val="12_ГДА"/>
      <sheetName val="13_НМА"/>
      <sheetName val="14_ТМЗ"/>
      <sheetName val="15_Ав.выд и прочие А"/>
      <sheetName val="16_Торг.пр.ДтЗ"/>
      <sheetName val="17"/>
      <sheetName val="18"/>
      <sheetName val="19"/>
      <sheetName val="20"/>
      <sheetName val="21а"/>
      <sheetName val="21б"/>
      <sheetName val="22"/>
      <sheetName val="23"/>
      <sheetName val="24"/>
    </sheetNames>
    <sheetDataSet>
      <sheetData sheetId="0" refreshError="1"/>
      <sheetData sheetId="1" refreshError="1"/>
      <sheetData sheetId="2">
        <row r="5">
          <cell r="C5">
            <v>4009614.0140999998</v>
          </cell>
          <cell r="D5">
            <v>6063196.0887500001</v>
          </cell>
        </row>
        <row r="6">
          <cell r="C6">
            <v>-1448393.5441500002</v>
          </cell>
          <cell r="D6">
            <v>-1344058.5109400006</v>
          </cell>
        </row>
        <row r="7">
          <cell r="C7">
            <v>2561220.4699499998</v>
          </cell>
          <cell r="D7">
            <v>4719137.5778099997</v>
          </cell>
        </row>
        <row r="8">
          <cell r="C8">
            <v>-1694728.06109</v>
          </cell>
          <cell r="D8">
            <v>-1815138.6716499999</v>
          </cell>
        </row>
        <row r="9">
          <cell r="C9">
            <v>-295252.67437999998</v>
          </cell>
          <cell r="D9">
            <v>-207533.81341999999</v>
          </cell>
        </row>
        <row r="10">
          <cell r="C10">
            <v>0</v>
          </cell>
          <cell r="D10">
            <v>150</v>
          </cell>
        </row>
        <row r="11">
          <cell r="C11">
            <v>-16658.02117</v>
          </cell>
          <cell r="D11">
            <v>-131074.77844000002</v>
          </cell>
        </row>
        <row r="12">
          <cell r="C12">
            <v>225413.34153000001</v>
          </cell>
          <cell r="D12">
            <v>0</v>
          </cell>
        </row>
        <row r="13">
          <cell r="C13">
            <v>779995.05483999988</v>
          </cell>
          <cell r="D13">
            <v>2565540.3142999997</v>
          </cell>
        </row>
        <row r="14">
          <cell r="C14">
            <v>8428.8001199999999</v>
          </cell>
          <cell r="D14">
            <v>16048.87076</v>
          </cell>
        </row>
        <row r="15">
          <cell r="C15">
            <v>-5902.3902400000024</v>
          </cell>
          <cell r="D15">
            <v>-11647.332</v>
          </cell>
        </row>
        <row r="16">
          <cell r="C16">
            <v>-198270.59649000003</v>
          </cell>
          <cell r="D16">
            <v>989064.85673000023</v>
          </cell>
        </row>
        <row r="17">
          <cell r="C17">
            <v>584250.86822999991</v>
          </cell>
          <cell r="D17">
            <v>3559006.7097899998</v>
          </cell>
        </row>
        <row r="18">
          <cell r="C18">
            <v>-207061.78400000001</v>
          </cell>
          <cell r="D18">
            <v>-793529.74</v>
          </cell>
        </row>
        <row r="19">
          <cell r="C19">
            <v>377189.08422999992</v>
          </cell>
          <cell r="D19">
            <v>2765476.9697899995</v>
          </cell>
        </row>
        <row r="20">
          <cell r="C20">
            <v>0</v>
          </cell>
          <cell r="D20">
            <v>0</v>
          </cell>
        </row>
        <row r="21">
          <cell r="C21">
            <v>377189.08422999992</v>
          </cell>
          <cell r="D21">
            <v>2765476.9697899995</v>
          </cell>
        </row>
        <row r="23">
          <cell r="C23">
            <v>68.579833496363619</v>
          </cell>
          <cell r="D23">
            <v>502.81399450727258</v>
          </cell>
        </row>
      </sheetData>
      <sheetData sheetId="3">
        <row r="4">
          <cell r="C4" t="str">
            <v xml:space="preserve"> на 30.06.2023</v>
          </cell>
          <cell r="D4" t="str">
            <v xml:space="preserve"> на 31.12.2022</v>
          </cell>
        </row>
        <row r="7">
          <cell r="C7">
            <v>5685111.7931400007</v>
          </cell>
          <cell r="D7">
            <v>5106903</v>
          </cell>
        </row>
        <row r="8">
          <cell r="C8">
            <v>31930.025000000001</v>
          </cell>
          <cell r="D8">
            <v>38908</v>
          </cell>
        </row>
        <row r="9">
          <cell r="C9">
            <v>1435140.7778099999</v>
          </cell>
          <cell r="D9">
            <v>1513387</v>
          </cell>
        </row>
        <row r="10">
          <cell r="C10">
            <v>82822.102440000002</v>
          </cell>
          <cell r="D10">
            <v>83156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142279.47018999999</v>
          </cell>
          <cell r="D13">
            <v>137532</v>
          </cell>
        </row>
        <row r="14">
          <cell r="C14">
            <v>7377284.1685800003</v>
          </cell>
          <cell r="D14">
            <v>6879886</v>
          </cell>
        </row>
        <row r="16">
          <cell r="C16">
            <v>5823179.52171</v>
          </cell>
          <cell r="D16">
            <v>5177062</v>
          </cell>
        </row>
        <row r="17">
          <cell r="C17">
            <v>933116.69629000023</v>
          </cell>
          <cell r="D17">
            <v>961414</v>
          </cell>
        </row>
        <row r="18">
          <cell r="C18">
            <v>212129.35715999999</v>
          </cell>
          <cell r="D18">
            <v>103689</v>
          </cell>
        </row>
        <row r="19">
          <cell r="C19">
            <v>1086873.8699299998</v>
          </cell>
          <cell r="D19">
            <v>771504</v>
          </cell>
        </row>
        <row r="20">
          <cell r="C20">
            <v>395263.98816000007</v>
          </cell>
          <cell r="D20">
            <v>530058</v>
          </cell>
        </row>
        <row r="21">
          <cell r="C21">
            <v>8450563.4332500007</v>
          </cell>
          <cell r="D21">
            <v>7543727</v>
          </cell>
        </row>
        <row r="22">
          <cell r="C22">
            <v>15827847.601830002</v>
          </cell>
          <cell r="D22">
            <v>14423613</v>
          </cell>
        </row>
        <row r="25">
          <cell r="C25">
            <v>5500000</v>
          </cell>
          <cell r="D25">
            <v>5500000</v>
          </cell>
        </row>
        <row r="26">
          <cell r="C26">
            <v>6390335.0844099997</v>
          </cell>
          <cell r="D26">
            <v>6013146</v>
          </cell>
        </row>
        <row r="27">
          <cell r="C27">
            <v>11890335.084410001</v>
          </cell>
          <cell r="D27">
            <v>11513146</v>
          </cell>
        </row>
        <row r="29">
          <cell r="C29">
            <v>1342685.4128300003</v>
          </cell>
          <cell r="D29">
            <v>736601</v>
          </cell>
        </row>
        <row r="30">
          <cell r="C30">
            <v>342491.08306999999</v>
          </cell>
          <cell r="D30">
            <v>330056</v>
          </cell>
        </row>
        <row r="31">
          <cell r="C31">
            <v>30612.748</v>
          </cell>
          <cell r="D31">
            <v>30613</v>
          </cell>
        </row>
        <row r="32">
          <cell r="C32">
            <v>90010.56706999999</v>
          </cell>
          <cell r="D32">
            <v>90010.56706999999</v>
          </cell>
        </row>
        <row r="33">
          <cell r="C33">
            <v>1805799.81097</v>
          </cell>
          <cell r="D33">
            <v>1187280.5670699999</v>
          </cell>
        </row>
        <row r="35">
          <cell r="C35">
            <v>322284.71682999999</v>
          </cell>
          <cell r="D35">
            <v>193331</v>
          </cell>
        </row>
        <row r="36">
          <cell r="C36">
            <v>29581</v>
          </cell>
          <cell r="D36">
            <v>30261</v>
          </cell>
        </row>
        <row r="37">
          <cell r="C37">
            <v>10175.561</v>
          </cell>
          <cell r="D37">
            <v>15120</v>
          </cell>
        </row>
        <row r="38">
          <cell r="C38">
            <v>60.61</v>
          </cell>
          <cell r="D38">
            <v>0</v>
          </cell>
        </row>
        <row r="39">
          <cell r="C39">
            <v>1601307.95236</v>
          </cell>
          <cell r="D39">
            <v>1287344</v>
          </cell>
        </row>
        <row r="40">
          <cell r="C40">
            <v>168302.86625999998</v>
          </cell>
          <cell r="D40">
            <v>197130</v>
          </cell>
        </row>
        <row r="41">
          <cell r="C41">
            <v>2131712.7064499999</v>
          </cell>
          <cell r="D41">
            <v>1723186</v>
          </cell>
        </row>
        <row r="42">
          <cell r="C42">
            <v>3937512.5174199999</v>
          </cell>
          <cell r="D42">
            <v>2910466.5670699999</v>
          </cell>
        </row>
        <row r="43">
          <cell r="C43">
            <v>15827847.60183</v>
          </cell>
          <cell r="D43">
            <v>14423612.56707</v>
          </cell>
        </row>
        <row r="45">
          <cell r="C45">
            <v>2083.6379682563638</v>
          </cell>
          <cell r="D45">
            <v>2012.8329314581822</v>
          </cell>
        </row>
        <row r="46">
          <cell r="C46">
            <v>0</v>
          </cell>
          <cell r="D46">
            <v>0.43293000012636185</v>
          </cell>
        </row>
      </sheetData>
      <sheetData sheetId="4">
        <row r="6">
          <cell r="C6">
            <v>584162.60565000004</v>
          </cell>
          <cell r="D6">
            <v>3559006.7097899998</v>
          </cell>
        </row>
        <row r="7">
          <cell r="D7" t="str">
            <v>-</v>
          </cell>
        </row>
        <row r="8">
          <cell r="C8">
            <v>-8427.5001200000006</v>
          </cell>
          <cell r="D8">
            <v>-16048.87076</v>
          </cell>
        </row>
        <row r="9">
          <cell r="C9">
            <v>15051.257</v>
          </cell>
          <cell r="D9">
            <v>11647.331999999999</v>
          </cell>
        </row>
        <row r="10">
          <cell r="C10">
            <v>481480.65416999999</v>
          </cell>
          <cell r="D10">
            <v>332228.44430000003</v>
          </cell>
        </row>
        <row r="11">
          <cell r="C11">
            <v>-225413.34153000001</v>
          </cell>
          <cell r="D11" t="str">
            <v>-</v>
          </cell>
        </row>
        <row r="12">
          <cell r="C12">
            <v>427.08326</v>
          </cell>
          <cell r="D12">
            <v>9640.3940899999998</v>
          </cell>
        </row>
        <row r="13">
          <cell r="C13" t="str">
            <v>-</v>
          </cell>
          <cell r="D13" t="str">
            <v>-</v>
          </cell>
        </row>
        <row r="14">
          <cell r="C14">
            <v>-245182.49358999991</v>
          </cell>
          <cell r="D14">
            <v>72427.887680000014</v>
          </cell>
        </row>
        <row r="15">
          <cell r="C15">
            <v>602098.26484000008</v>
          </cell>
          <cell r="D15">
            <v>3968901.8971000002</v>
          </cell>
        </row>
        <row r="16">
          <cell r="C16">
            <v>-646117.52171</v>
          </cell>
          <cell r="D16">
            <v>-756829.57435999997</v>
          </cell>
        </row>
        <row r="17">
          <cell r="C17">
            <v>28297.736259999452</v>
          </cell>
          <cell r="D17">
            <v>-518389.98473999999</v>
          </cell>
        </row>
        <row r="18">
          <cell r="C18">
            <v>141189.00748000029</v>
          </cell>
          <cell r="D18">
            <v>-1390133.9912999999</v>
          </cell>
        </row>
        <row r="19">
          <cell r="C19">
            <v>-28279.031750000024</v>
          </cell>
          <cell r="D19">
            <v>98373.425180000006</v>
          </cell>
        </row>
        <row r="20">
          <cell r="C20">
            <v>414287.13461999997</v>
          </cell>
          <cell r="D20">
            <v>212615</v>
          </cell>
        </row>
        <row r="21">
          <cell r="C21">
            <v>511475.58973999973</v>
          </cell>
          <cell r="D21">
            <v>1614536.7718800006</v>
          </cell>
        </row>
        <row r="22">
          <cell r="C22">
            <v>8428.8001199999999</v>
          </cell>
          <cell r="D22">
            <v>16048.87076</v>
          </cell>
        </row>
        <row r="23">
          <cell r="C23">
            <v>-315989.67914999998</v>
          </cell>
          <cell r="D23">
            <v>-1090503.3999999999</v>
          </cell>
        </row>
        <row r="24">
          <cell r="C24">
            <v>203914.71070999978</v>
          </cell>
          <cell r="D24">
            <v>540082.24264000077</v>
          </cell>
        </row>
        <row r="26">
          <cell r="C26">
            <v>-964814.98165000009</v>
          </cell>
          <cell r="D26">
            <v>-751610.63195999991</v>
          </cell>
        </row>
        <row r="27">
          <cell r="C27">
            <v>-9068.3536500000009</v>
          </cell>
          <cell r="D27">
            <v>-14961.082380000002</v>
          </cell>
        </row>
        <row r="28">
          <cell r="C28">
            <v>-4747.5</v>
          </cell>
          <cell r="D28">
            <v>-4200.3126199999997</v>
          </cell>
        </row>
        <row r="29">
          <cell r="C29" t="str">
            <v>-</v>
          </cell>
          <cell r="D29">
            <v>-5110.3999999999996</v>
          </cell>
        </row>
        <row r="30">
          <cell r="C30">
            <v>-978630.83530000004</v>
          </cell>
          <cell r="D30">
            <v>-775882.42695999995</v>
          </cell>
        </row>
        <row r="32">
          <cell r="C32" t="str">
            <v>-</v>
          </cell>
          <cell r="D32" t="str">
            <v>-</v>
          </cell>
        </row>
        <row r="33">
          <cell r="C33">
            <v>839812.36525999999</v>
          </cell>
          <cell r="D33" t="str">
            <v>-</v>
          </cell>
        </row>
        <row r="34">
          <cell r="C34">
            <v>-111941.69175</v>
          </cell>
          <cell r="D34" t="str">
            <v>-</v>
          </cell>
        </row>
        <row r="35">
          <cell r="C35">
            <v>-7560</v>
          </cell>
          <cell r="D35">
            <v>-7560</v>
          </cell>
        </row>
        <row r="36">
          <cell r="C36">
            <v>720310.67350999999</v>
          </cell>
          <cell r="D36">
            <v>-7560</v>
          </cell>
        </row>
        <row r="37">
          <cell r="C37">
            <v>-54405.451080000261</v>
          </cell>
          <cell r="D37">
            <v>-243361.14563000019</v>
          </cell>
        </row>
        <row r="38">
          <cell r="C38">
            <v>-80388.983710000015</v>
          </cell>
          <cell r="D38">
            <v>-72427.887680000014</v>
          </cell>
        </row>
        <row r="39">
          <cell r="C39">
            <v>530058.32287999999</v>
          </cell>
          <cell r="D39">
            <v>1310838.6000000001</v>
          </cell>
        </row>
        <row r="40">
          <cell r="C40">
            <v>395263.88808999973</v>
          </cell>
          <cell r="D40">
            <v>995049.56668999989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49">
          <cell r="C49" t="str">
            <v>-</v>
          </cell>
          <cell r="D49" t="str">
            <v>-</v>
          </cell>
        </row>
        <row r="50">
          <cell r="C50" t="str">
            <v>-</v>
          </cell>
          <cell r="D50" t="str">
            <v>-</v>
          </cell>
        </row>
        <row r="51">
          <cell r="C51">
            <v>589.29985999999997</v>
          </cell>
          <cell r="D51">
            <v>1567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Содерж"/>
      <sheetName val="ОСВ"/>
      <sheetName val="ОДР и ПСД"/>
      <sheetName val="ОФП"/>
      <sheetName val="ОДДС_К"/>
      <sheetName val="Перевод в НЗС"/>
      <sheetName val="CF-1кв.2023"/>
      <sheetName val="ОИК"/>
      <sheetName val="3_Выручка"/>
      <sheetName val="4_Себест."/>
      <sheetName val="5_Расх.реал."/>
      <sheetName val="6"/>
      <sheetName val="7_Прочие Р."/>
      <sheetName val="8_Обесц."/>
      <sheetName val="9"/>
      <sheetName val="10"/>
      <sheetName val="11_ОС"/>
      <sheetName val="ОСВ_2400"/>
      <sheetName val="12_ГДА"/>
      <sheetName val="13_НМА"/>
      <sheetName val="14"/>
      <sheetName val="15_Ав.выд и прочие А"/>
      <sheetName val="16"/>
      <sheetName val="17"/>
      <sheetName val="18"/>
      <sheetName val="19"/>
      <sheetName val="20"/>
      <sheetName val="21а"/>
      <sheetName val="21б"/>
      <sheetName val="22"/>
      <sheetName val="23"/>
      <sheetName val="24"/>
    </sheetNames>
    <sheetDataSet>
      <sheetData sheetId="0" refreshError="1"/>
      <sheetData sheetId="1" refreshError="1"/>
      <sheetData sheetId="2">
        <row r="19">
          <cell r="C19">
            <v>146428.17658999996</v>
          </cell>
        </row>
      </sheetData>
      <sheetData sheetId="3">
        <row r="26">
          <cell r="D26">
            <v>6013146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L56"/>
  <sheetViews>
    <sheetView topLeftCell="A14" zoomScale="90" zoomScaleNormal="90" workbookViewId="0">
      <selection activeCell="K29" sqref="K1:L1048576"/>
    </sheetView>
  </sheetViews>
  <sheetFormatPr defaultRowHeight="14.4"/>
  <cols>
    <col min="1" max="1" width="47.33203125" customWidth="1"/>
    <col min="2" max="2" width="9.44140625" customWidth="1"/>
    <col min="3" max="3" width="18.5546875" customWidth="1"/>
    <col min="4" max="4" width="18.33203125" customWidth="1"/>
    <col min="5" max="5" width="9.6640625" customWidth="1"/>
    <col min="6" max="6" width="14.109375" hidden="1" customWidth="1"/>
    <col min="7" max="7" width="8.88671875" hidden="1" customWidth="1"/>
    <col min="8" max="8" width="11.6640625" hidden="1" customWidth="1"/>
    <col min="9" max="9" width="11" hidden="1" customWidth="1"/>
    <col min="11" max="11" width="13" hidden="1" customWidth="1"/>
    <col min="12" max="12" width="11.77734375" hidden="1" customWidth="1"/>
  </cols>
  <sheetData>
    <row r="1" spans="1:12" ht="24.75" customHeight="1">
      <c r="A1" s="156" t="s">
        <v>119</v>
      </c>
      <c r="B1" s="156"/>
      <c r="C1" s="156"/>
      <c r="D1" s="156"/>
    </row>
    <row r="2" spans="1:12" ht="36.75" customHeight="1">
      <c r="A2" s="155" t="s">
        <v>389</v>
      </c>
      <c r="B2" s="155"/>
      <c r="C2" s="155"/>
      <c r="D2" s="155"/>
    </row>
    <row r="3" spans="1:12" ht="19.5" customHeight="1" thickBot="1">
      <c r="A3" s="2" t="s">
        <v>0</v>
      </c>
      <c r="B3" s="4" t="s">
        <v>1</v>
      </c>
      <c r="C3" s="17" t="s">
        <v>381</v>
      </c>
      <c r="D3" s="17" t="s">
        <v>363</v>
      </c>
      <c r="K3" t="str">
        <f>[1]ОФП!C4</f>
        <v xml:space="preserve"> на 30.06.2023</v>
      </c>
      <c r="L3" t="str">
        <f>[1]ОФП!D4</f>
        <v xml:space="preserve"> на 31.12.2022</v>
      </c>
    </row>
    <row r="4" spans="1:12" ht="14.4" customHeight="1">
      <c r="A4" s="9" t="s">
        <v>28</v>
      </c>
      <c r="B4" s="128"/>
      <c r="C4" s="128"/>
      <c r="D4" s="128"/>
      <c r="K4">
        <f>[1]ОФП!C5</f>
        <v>0</v>
      </c>
      <c r="L4">
        <f>[1]ОФП!D5</f>
        <v>0</v>
      </c>
    </row>
    <row r="5" spans="1:12">
      <c r="A5" s="9" t="s">
        <v>29</v>
      </c>
      <c r="B5" s="128"/>
      <c r="C5" s="128"/>
      <c r="D5" s="129"/>
      <c r="K5">
        <f>[1]ОФП!C6</f>
        <v>0</v>
      </c>
      <c r="L5">
        <f>[1]ОФП!D6</f>
        <v>0</v>
      </c>
    </row>
    <row r="6" spans="1:12">
      <c r="A6" s="7" t="s">
        <v>30</v>
      </c>
      <c r="B6" s="8">
        <v>11</v>
      </c>
      <c r="C6" s="19">
        <f>K6</f>
        <v>5685111.7931400007</v>
      </c>
      <c r="D6" s="130">
        <v>5106903</v>
      </c>
      <c r="H6" t="s">
        <v>378</v>
      </c>
      <c r="I6" t="s">
        <v>379</v>
      </c>
      <c r="K6" s="28">
        <f>[1]ОФП!C7</f>
        <v>5685111.7931400007</v>
      </c>
      <c r="L6" s="28">
        <f>[1]ОФП!D7</f>
        <v>5106903</v>
      </c>
    </row>
    <row r="7" spans="1:12">
      <c r="A7" s="7" t="s">
        <v>31</v>
      </c>
      <c r="B7" s="8" t="s">
        <v>364</v>
      </c>
      <c r="C7" s="19">
        <f t="shared" ref="C7:C9" si="0">K7</f>
        <v>31930.025000000001</v>
      </c>
      <c r="D7" s="130">
        <v>38908</v>
      </c>
      <c r="G7" t="s">
        <v>377</v>
      </c>
      <c r="H7" s="151">
        <f>318265400.31/1000</f>
        <v>318265.40031</v>
      </c>
      <c r="I7" s="151">
        <f>320501309.91/1000</f>
        <v>320501.30991000001</v>
      </c>
      <c r="K7" s="28">
        <f>[1]ОФП!C8</f>
        <v>31930.025000000001</v>
      </c>
      <c r="L7" s="28">
        <f>[1]ОФП!D8</f>
        <v>38908</v>
      </c>
    </row>
    <row r="8" spans="1:12">
      <c r="A8" s="7" t="s">
        <v>32</v>
      </c>
      <c r="B8" s="8">
        <v>12</v>
      </c>
      <c r="C8" s="19">
        <f t="shared" si="0"/>
        <v>1435140.7778099999</v>
      </c>
      <c r="D8" s="130">
        <v>1513387</v>
      </c>
      <c r="K8" s="28">
        <f>[1]ОФП!C9</f>
        <v>1435140.7778099999</v>
      </c>
      <c r="L8" s="28">
        <f>[1]ОФП!D9</f>
        <v>1513387</v>
      </c>
    </row>
    <row r="9" spans="1:12">
      <c r="A9" s="7" t="s">
        <v>33</v>
      </c>
      <c r="B9" s="8">
        <v>13</v>
      </c>
      <c r="C9" s="19">
        <f t="shared" si="0"/>
        <v>82822.102440000002</v>
      </c>
      <c r="D9" s="130">
        <v>83156</v>
      </c>
      <c r="K9" s="28">
        <f>[1]ОФП!C10</f>
        <v>82822.102440000002</v>
      </c>
      <c r="L9" s="28">
        <f>[1]ОФП!D10</f>
        <v>83156</v>
      </c>
    </row>
    <row r="10" spans="1:12">
      <c r="A10" s="7" t="s">
        <v>34</v>
      </c>
      <c r="B10" s="8" t="s">
        <v>35</v>
      </c>
      <c r="C10" s="130">
        <v>0</v>
      </c>
      <c r="D10" s="130">
        <v>0</v>
      </c>
      <c r="K10" s="28">
        <f>[1]ОФП!C11</f>
        <v>0</v>
      </c>
      <c r="L10" s="28">
        <f>[1]ОФП!D11</f>
        <v>0</v>
      </c>
    </row>
    <row r="11" spans="1:12" ht="22.8">
      <c r="A11" s="7" t="s">
        <v>62</v>
      </c>
      <c r="B11" s="8"/>
      <c r="C11" s="130">
        <v>0</v>
      </c>
      <c r="D11" s="130">
        <v>0</v>
      </c>
      <c r="K11" s="28">
        <f>[1]ОФП!C12</f>
        <v>0</v>
      </c>
      <c r="L11" s="28">
        <f>[1]ОФП!D12</f>
        <v>0</v>
      </c>
    </row>
    <row r="12" spans="1:12" ht="15" thickBot="1">
      <c r="A12" s="7" t="s">
        <v>36</v>
      </c>
      <c r="B12" s="8">
        <v>17</v>
      </c>
      <c r="C12" s="20">
        <f>K12</f>
        <v>142279.47018999999</v>
      </c>
      <c r="D12" s="131">
        <v>137532</v>
      </c>
      <c r="K12" s="28">
        <f>[1]ОФП!C13</f>
        <v>142279.47018999999</v>
      </c>
      <c r="L12" s="28">
        <f>[1]ОФП!D13</f>
        <v>137532</v>
      </c>
    </row>
    <row r="13" spans="1:12" ht="15" thickBot="1">
      <c r="A13" s="132"/>
      <c r="B13" s="132"/>
      <c r="C13" s="133">
        <f>SUM(C6:C12)</f>
        <v>7377284.1685800003</v>
      </c>
      <c r="D13" s="133">
        <f>SUM(D6:D12)</f>
        <v>6879886</v>
      </c>
      <c r="K13" s="28">
        <f>[1]ОФП!C14</f>
        <v>7377284.1685800003</v>
      </c>
      <c r="L13" s="28">
        <f>[1]ОФП!D14</f>
        <v>6879886</v>
      </c>
    </row>
    <row r="14" spans="1:12" s="18" customFormat="1">
      <c r="A14" s="9" t="s">
        <v>37</v>
      </c>
      <c r="B14" s="128"/>
      <c r="C14" s="134"/>
      <c r="D14" s="129"/>
      <c r="K14" s="153">
        <f>[1]ОФП!C15</f>
        <v>0</v>
      </c>
      <c r="L14" s="153">
        <f>[1]ОФП!D15</f>
        <v>0</v>
      </c>
    </row>
    <row r="15" spans="1:12">
      <c r="A15" s="7" t="s">
        <v>38</v>
      </c>
      <c r="B15" s="8">
        <v>14</v>
      </c>
      <c r="C15" s="19">
        <f>K15</f>
        <v>5823179.52171</v>
      </c>
      <c r="D15" s="130">
        <v>5177062</v>
      </c>
      <c r="K15" s="28">
        <f>[1]ОФП!C16</f>
        <v>5823179.52171</v>
      </c>
      <c r="L15" s="28">
        <f>[1]ОФП!D16</f>
        <v>5177062</v>
      </c>
    </row>
    <row r="16" spans="1:12">
      <c r="A16" s="7" t="s">
        <v>39</v>
      </c>
      <c r="B16" s="8">
        <v>15</v>
      </c>
      <c r="C16" s="19">
        <f t="shared" ref="C16:C18" si="1">K16</f>
        <v>933116.69629000023</v>
      </c>
      <c r="D16" s="130">
        <v>961414</v>
      </c>
      <c r="K16" s="28">
        <f>[1]ОФП!C17</f>
        <v>933116.69629000023</v>
      </c>
      <c r="L16" s="28">
        <f>[1]ОФП!D17</f>
        <v>961414</v>
      </c>
    </row>
    <row r="17" spans="1:12">
      <c r="A17" s="7" t="s">
        <v>40</v>
      </c>
      <c r="B17" s="128"/>
      <c r="C17" s="19">
        <f t="shared" si="1"/>
        <v>212129.35715999999</v>
      </c>
      <c r="D17" s="130">
        <v>103689</v>
      </c>
      <c r="K17" s="28">
        <f>[1]ОФП!C18</f>
        <v>212129.35715999999</v>
      </c>
      <c r="L17" s="28">
        <f>[1]ОФП!D18</f>
        <v>103689</v>
      </c>
    </row>
    <row r="18" spans="1:12">
      <c r="A18" s="7" t="s">
        <v>41</v>
      </c>
      <c r="B18" s="8">
        <v>16</v>
      </c>
      <c r="C18" s="19">
        <f t="shared" si="1"/>
        <v>1086873.8699299998</v>
      </c>
      <c r="D18" s="130">
        <v>771504</v>
      </c>
      <c r="K18" s="28">
        <f>[1]ОФП!C19</f>
        <v>1086873.8699299998</v>
      </c>
      <c r="L18" s="28">
        <f>[1]ОФП!D19</f>
        <v>771504</v>
      </c>
    </row>
    <row r="19" spans="1:12" ht="15" thickBot="1">
      <c r="A19" s="7" t="s">
        <v>42</v>
      </c>
      <c r="B19" s="8">
        <v>17</v>
      </c>
      <c r="C19" s="20">
        <f>K19</f>
        <v>395263.98816000007</v>
      </c>
      <c r="D19" s="131">
        <v>530058</v>
      </c>
      <c r="K19" s="28">
        <f>[1]ОФП!C20</f>
        <v>395263.98816000007</v>
      </c>
      <c r="L19" s="28">
        <f>[1]ОФП!D20</f>
        <v>530058</v>
      </c>
    </row>
    <row r="20" spans="1:12" ht="15" thickBot="1">
      <c r="A20" s="128"/>
      <c r="B20" s="128"/>
      <c r="C20" s="36">
        <f>SUM(C15:C19)</f>
        <v>8450563.4332500007</v>
      </c>
      <c r="D20" s="133">
        <f>SUM(D15:D19)</f>
        <v>7543727</v>
      </c>
      <c r="K20" s="28">
        <f>[1]ОФП!C21</f>
        <v>8450563.4332500007</v>
      </c>
      <c r="L20" s="28">
        <f>[1]ОФП!D21</f>
        <v>7543727</v>
      </c>
    </row>
    <row r="21" spans="1:12" ht="15" thickBot="1">
      <c r="A21" s="9" t="s">
        <v>43</v>
      </c>
      <c r="B21" s="128"/>
      <c r="C21" s="22">
        <f>C20+C13</f>
        <v>15827847.601830002</v>
      </c>
      <c r="D21" s="135">
        <f>D13+D20</f>
        <v>14423613</v>
      </c>
      <c r="K21" s="28">
        <f>[1]ОФП!C22</f>
        <v>15827847.601830002</v>
      </c>
      <c r="L21" s="28">
        <f>[1]ОФП!D22</f>
        <v>14423613</v>
      </c>
    </row>
    <row r="22" spans="1:12" ht="15" thickTop="1">
      <c r="A22" s="9" t="s">
        <v>44</v>
      </c>
      <c r="B22" s="128"/>
      <c r="C22" s="136"/>
      <c r="D22" s="129"/>
      <c r="K22" s="28">
        <f>[1]ОФП!C23</f>
        <v>0</v>
      </c>
      <c r="L22" s="28">
        <f>[1]ОФП!D23</f>
        <v>0</v>
      </c>
    </row>
    <row r="23" spans="1:12">
      <c r="A23" s="9" t="s">
        <v>45</v>
      </c>
      <c r="B23" s="128"/>
      <c r="C23" s="136"/>
      <c r="D23" s="129"/>
      <c r="K23" s="28">
        <f>[1]ОФП!C24</f>
        <v>0</v>
      </c>
      <c r="L23" s="28">
        <f>[1]ОФП!D24</f>
        <v>0</v>
      </c>
    </row>
    <row r="24" spans="1:12">
      <c r="A24" s="7" t="s">
        <v>46</v>
      </c>
      <c r="B24" s="8" t="s">
        <v>47</v>
      </c>
      <c r="C24" s="19">
        <f>K24</f>
        <v>5500000</v>
      </c>
      <c r="D24" s="130">
        <v>5500000</v>
      </c>
      <c r="K24" s="28">
        <f>[1]ОФП!C25</f>
        <v>5500000</v>
      </c>
      <c r="L24" s="28">
        <f>[1]ОФП!D25</f>
        <v>5500000</v>
      </c>
    </row>
    <row r="25" spans="1:12" ht="15" thickBot="1">
      <c r="A25" s="7" t="s">
        <v>48</v>
      </c>
      <c r="B25" s="128"/>
      <c r="C25" s="20">
        <f>K25</f>
        <v>6390335.0844099997</v>
      </c>
      <c r="D25" s="131">
        <v>6013146</v>
      </c>
      <c r="K25" s="28">
        <f>[1]ОФП!C26</f>
        <v>6390335.0844099997</v>
      </c>
      <c r="L25" s="28">
        <f>[1]ОФП!D26</f>
        <v>6013146</v>
      </c>
    </row>
    <row r="26" spans="1:12" ht="15" thickBot="1">
      <c r="A26" s="128"/>
      <c r="B26" s="128"/>
      <c r="C26" s="20">
        <f>SUM(C24:C25)</f>
        <v>11890335.084410001</v>
      </c>
      <c r="D26" s="131">
        <f>D24+D25</f>
        <v>11513146</v>
      </c>
      <c r="F26" s="24">
        <f>C26-D26</f>
        <v>377189.08441000059</v>
      </c>
      <c r="K26" s="28">
        <f>[1]ОФП!C27</f>
        <v>11890335.084410001</v>
      </c>
      <c r="L26" s="28">
        <f>[1]ОФП!D27</f>
        <v>11513146</v>
      </c>
    </row>
    <row r="27" spans="1:12">
      <c r="A27" s="9" t="s">
        <v>49</v>
      </c>
      <c r="B27" s="128"/>
      <c r="C27" s="136"/>
      <c r="D27" s="129"/>
      <c r="F27" s="24">
        <f>F26-'ОДР и ПСД'!C21</f>
        <v>1.8000067211687565E-4</v>
      </c>
      <c r="K27" s="28">
        <f>[1]ОФП!C28</f>
        <v>0</v>
      </c>
      <c r="L27" s="28">
        <f>[1]ОФП!D28</f>
        <v>0</v>
      </c>
    </row>
    <row r="28" spans="1:12">
      <c r="A28" s="7" t="s">
        <v>333</v>
      </c>
      <c r="B28" s="8">
        <v>19</v>
      </c>
      <c r="C28" s="19">
        <f>K28</f>
        <v>1342685.4128300003</v>
      </c>
      <c r="D28" s="19">
        <v>736601</v>
      </c>
      <c r="F28" s="28" t="e">
        <f>#REF!</f>
        <v>#REF!</v>
      </c>
      <c r="K28" s="28">
        <f>[1]ОФП!C29</f>
        <v>1342685.4128300003</v>
      </c>
      <c r="L28" s="28">
        <f>[1]ОФП!D29</f>
        <v>736601</v>
      </c>
    </row>
    <row r="29" spans="1:12" ht="31.2" customHeight="1">
      <c r="A29" s="7" t="s">
        <v>50</v>
      </c>
      <c r="B29" s="8">
        <v>20</v>
      </c>
      <c r="C29" s="19">
        <f t="shared" ref="C29:C30" si="2">K29</f>
        <v>342491.08306999999</v>
      </c>
      <c r="D29" s="19">
        <v>330056</v>
      </c>
      <c r="F29" s="28"/>
      <c r="K29" s="28">
        <f>[1]ОФП!C30</f>
        <v>342491.08306999999</v>
      </c>
      <c r="L29" s="28">
        <f>[1]ОФП!D30</f>
        <v>330056</v>
      </c>
    </row>
    <row r="30" spans="1:12">
      <c r="A30" s="7" t="s">
        <v>51</v>
      </c>
      <c r="B30" s="8" t="s">
        <v>365</v>
      </c>
      <c r="C30" s="19">
        <f t="shared" si="2"/>
        <v>30612.748</v>
      </c>
      <c r="D30" s="130">
        <v>30613</v>
      </c>
      <c r="F30" s="24" t="e">
        <f>F27-F28</f>
        <v>#REF!</v>
      </c>
      <c r="K30" s="28">
        <f>[1]ОФП!C31</f>
        <v>30612.748</v>
      </c>
      <c r="L30" s="28">
        <f>[1]ОФП!D31</f>
        <v>30613</v>
      </c>
    </row>
    <row r="31" spans="1:12" ht="15" thickBot="1">
      <c r="A31" s="7" t="s">
        <v>53</v>
      </c>
      <c r="B31" s="8" t="s">
        <v>35</v>
      </c>
      <c r="C31" s="20">
        <f>K31</f>
        <v>90010.56706999999</v>
      </c>
      <c r="D31" s="131">
        <v>90011</v>
      </c>
      <c r="K31" s="28">
        <f>[1]ОФП!C32</f>
        <v>90010.56706999999</v>
      </c>
      <c r="L31" s="28">
        <f>[1]ОФП!D32</f>
        <v>90010.56706999999</v>
      </c>
    </row>
    <row r="32" spans="1:12" ht="15" thickBot="1">
      <c r="A32" s="128"/>
      <c r="B32" s="128"/>
      <c r="C32" s="20">
        <f>SUM(C28:C31)</f>
        <v>1805799.81097</v>
      </c>
      <c r="D32" s="20">
        <f>SUM(D28:D31)</f>
        <v>1187281</v>
      </c>
      <c r="K32" s="28">
        <f>[1]ОФП!C33</f>
        <v>1805799.81097</v>
      </c>
      <c r="L32" s="28">
        <f>[1]ОФП!D33</f>
        <v>1187280.5670699999</v>
      </c>
    </row>
    <row r="33" spans="1:12">
      <c r="A33" s="9" t="s">
        <v>54</v>
      </c>
      <c r="B33" s="128"/>
      <c r="C33" s="136"/>
      <c r="D33" s="129"/>
      <c r="K33" s="28">
        <f>[1]ОФП!C34</f>
        <v>0</v>
      </c>
      <c r="L33" s="28">
        <f>[1]ОФП!D34</f>
        <v>0</v>
      </c>
    </row>
    <row r="34" spans="1:12">
      <c r="A34" s="7" t="s">
        <v>358</v>
      </c>
      <c r="B34" s="8">
        <v>19</v>
      </c>
      <c r="C34" s="19">
        <f>K34</f>
        <v>322284.71682999999</v>
      </c>
      <c r="D34" s="129">
        <v>193331</v>
      </c>
      <c r="K34" s="28">
        <f>[1]ОФП!C35</f>
        <v>322284.71682999999</v>
      </c>
      <c r="L34" s="28">
        <f>[1]ОФП!D35</f>
        <v>193331</v>
      </c>
    </row>
    <row r="35" spans="1:12" ht="22.8">
      <c r="A35" s="7" t="s">
        <v>366</v>
      </c>
      <c r="B35" s="8">
        <v>20</v>
      </c>
      <c r="C35" s="19">
        <f t="shared" ref="C35:C38" si="3">K35</f>
        <v>29581</v>
      </c>
      <c r="D35" s="130">
        <v>30261</v>
      </c>
      <c r="K35" s="28">
        <f>[1]ОФП!C36</f>
        <v>29581</v>
      </c>
      <c r="L35" s="28">
        <f>[1]ОФП!D36</f>
        <v>30261</v>
      </c>
    </row>
    <row r="36" spans="1:12">
      <c r="A36" s="7" t="s">
        <v>367</v>
      </c>
      <c r="B36" s="8" t="s">
        <v>365</v>
      </c>
      <c r="C36" s="19">
        <f t="shared" si="3"/>
        <v>10175.561</v>
      </c>
      <c r="D36" s="130">
        <v>15120</v>
      </c>
      <c r="K36" s="28">
        <f>[1]ОФП!C37</f>
        <v>10175.561</v>
      </c>
      <c r="L36" s="28">
        <f>[1]ОФП!D37</f>
        <v>15120</v>
      </c>
    </row>
    <row r="37" spans="1:12">
      <c r="A37" s="7" t="s">
        <v>55</v>
      </c>
      <c r="B37" s="128"/>
      <c r="C37" s="19">
        <f t="shared" si="3"/>
        <v>60.61</v>
      </c>
      <c r="D37" s="130">
        <v>0</v>
      </c>
      <c r="K37" s="28">
        <f>[1]ОФП!C38</f>
        <v>60.61</v>
      </c>
      <c r="L37" s="28">
        <f>[1]ОФП!D38</f>
        <v>0</v>
      </c>
    </row>
    <row r="38" spans="1:12">
      <c r="A38" s="7" t="s">
        <v>56</v>
      </c>
      <c r="B38" s="8">
        <v>22</v>
      </c>
      <c r="C38" s="19">
        <f t="shared" si="3"/>
        <v>1601307.95236</v>
      </c>
      <c r="D38" s="130">
        <v>1287344</v>
      </c>
      <c r="K38" s="28">
        <f>[1]ОФП!C39</f>
        <v>1601307.95236</v>
      </c>
      <c r="L38" s="28">
        <f>[1]ОФП!D39</f>
        <v>1287344</v>
      </c>
    </row>
    <row r="39" spans="1:12" ht="15" thickBot="1">
      <c r="A39" s="7" t="s">
        <v>57</v>
      </c>
      <c r="B39" s="8">
        <v>23</v>
      </c>
      <c r="C39" s="131">
        <f>K39</f>
        <v>168302.86625999998</v>
      </c>
      <c r="D39" s="131">
        <v>197130</v>
      </c>
      <c r="K39" s="28">
        <f>[1]ОФП!C40</f>
        <v>168302.86625999998</v>
      </c>
      <c r="L39" s="28">
        <f>[1]ОФП!D40</f>
        <v>197130</v>
      </c>
    </row>
    <row r="40" spans="1:12" ht="21.6" customHeight="1" thickBot="1">
      <c r="A40" s="128"/>
      <c r="B40" s="128"/>
      <c r="C40" s="20">
        <f>SUM(C34:C39)</f>
        <v>2131712.7064499999</v>
      </c>
      <c r="D40" s="131">
        <f>D35+D36+D37+D38+D39+D34</f>
        <v>1723186</v>
      </c>
      <c r="K40" s="28">
        <f>[1]ОФП!C41</f>
        <v>2131712.7064499999</v>
      </c>
      <c r="L40" s="28">
        <f>[1]ОФП!D41</f>
        <v>1723186</v>
      </c>
    </row>
    <row r="41" spans="1:12" ht="15" thickBot="1">
      <c r="A41" s="9" t="s">
        <v>58</v>
      </c>
      <c r="B41" s="128"/>
      <c r="C41" s="20">
        <f>C40+C32</f>
        <v>3937512.5174199999</v>
      </c>
      <c r="D41" s="20">
        <f>D32+D40</f>
        <v>2910467</v>
      </c>
      <c r="K41" s="28">
        <f>[1]ОФП!C42</f>
        <v>3937512.5174199999</v>
      </c>
      <c r="L41" s="28">
        <f>[1]ОФП!D42</f>
        <v>2910466.5670699999</v>
      </c>
    </row>
    <row r="42" spans="1:12" ht="15" thickBot="1">
      <c r="A42" s="9" t="s">
        <v>59</v>
      </c>
      <c r="B42" s="128"/>
      <c r="C42" s="22">
        <f>C41+C26</f>
        <v>15827847.60183</v>
      </c>
      <c r="D42" s="135">
        <f>D26+D41</f>
        <v>14423613</v>
      </c>
      <c r="K42" s="28">
        <f>[1]ОФП!C43</f>
        <v>15827847.60183</v>
      </c>
      <c r="L42" s="28">
        <f>[1]ОФП!D43</f>
        <v>14423612.56707</v>
      </c>
    </row>
    <row r="43" spans="1:12" ht="15" thickTop="1">
      <c r="A43" s="11"/>
      <c r="B43" s="11"/>
      <c r="D43" s="38"/>
      <c r="K43" s="28">
        <f>[1]ОФП!C44</f>
        <v>0</v>
      </c>
      <c r="L43" s="28">
        <f>[1]ОФП!D44</f>
        <v>0</v>
      </c>
    </row>
    <row r="44" spans="1:12" ht="15" thickBot="1">
      <c r="A44" s="7" t="s">
        <v>60</v>
      </c>
      <c r="B44" s="8" t="s">
        <v>61</v>
      </c>
      <c r="C44" s="20">
        <f>(C21-C9-C7-C41-H7)/C24*1000</f>
        <v>2083.1486466654551</v>
      </c>
      <c r="D44" s="20">
        <f>(D21-D9-D7-D41-I7)/D24*1000</f>
        <v>2012.8328527436365</v>
      </c>
      <c r="K44" s="28">
        <f>[1]ОФП!C45</f>
        <v>2083.6379682563638</v>
      </c>
      <c r="L44" s="28">
        <f>[1]ОФП!D45</f>
        <v>2012.8329314581822</v>
      </c>
    </row>
    <row r="45" spans="1:12">
      <c r="A45" s="7"/>
      <c r="B45" s="8"/>
      <c r="C45" s="19"/>
      <c r="D45" s="19"/>
      <c r="K45" s="28">
        <f>[1]ОФП!C46</f>
        <v>0</v>
      </c>
      <c r="L45" s="28">
        <f>[1]ОФП!D46</f>
        <v>0.43293000012636185</v>
      </c>
    </row>
    <row r="46" spans="1:12">
      <c r="A46" s="7"/>
      <c r="B46" s="8"/>
      <c r="C46" s="19"/>
      <c r="D46" s="19"/>
      <c r="K46" s="28">
        <f>[1]ОФП!C47</f>
        <v>0</v>
      </c>
      <c r="L46" s="28">
        <f>[1]ОФП!D47</f>
        <v>0</v>
      </c>
    </row>
    <row r="47" spans="1:12">
      <c r="C47" s="28"/>
      <c r="K47" s="28">
        <f>[1]ОФП!C48</f>
        <v>0</v>
      </c>
      <c r="L47" s="28">
        <f>[1]ОФП!D48</f>
        <v>0</v>
      </c>
    </row>
    <row r="48" spans="1:12">
      <c r="A48" s="12" t="s">
        <v>382</v>
      </c>
      <c r="K48" s="28">
        <f>[1]ОФП!C49</f>
        <v>0</v>
      </c>
      <c r="L48" s="28">
        <f>[1]ОФП!D49</f>
        <v>0</v>
      </c>
    </row>
    <row r="49" spans="1:12">
      <c r="A49" s="12"/>
      <c r="K49" s="28"/>
      <c r="L49" s="28"/>
    </row>
    <row r="50" spans="1:12">
      <c r="A50" s="12" t="s">
        <v>22</v>
      </c>
    </row>
    <row r="51" spans="1:12" ht="4.95" customHeight="1">
      <c r="A51" s="14" t="s">
        <v>23</v>
      </c>
    </row>
    <row r="52" spans="1:12">
      <c r="A52" s="15" t="s">
        <v>24</v>
      </c>
      <c r="C52" s="15" t="s">
        <v>25</v>
      </c>
    </row>
    <row r="53" spans="1:12" ht="6.6" customHeight="1">
      <c r="A53" s="12"/>
    </row>
    <row r="54" spans="1:12">
      <c r="A54" s="12" t="s">
        <v>26</v>
      </c>
      <c r="C54" s="12" t="s">
        <v>27</v>
      </c>
    </row>
    <row r="55" spans="1:12" ht="7.95" customHeight="1">
      <c r="A55" s="12"/>
    </row>
    <row r="56" spans="1:12">
      <c r="A56" s="12" t="s">
        <v>369</v>
      </c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G36"/>
  <sheetViews>
    <sheetView tabSelected="1" zoomScaleNormal="100" workbookViewId="0">
      <selection activeCell="C5" sqref="C5"/>
    </sheetView>
  </sheetViews>
  <sheetFormatPr defaultRowHeight="14.4"/>
  <cols>
    <col min="1" max="1" width="47.44140625" customWidth="1"/>
    <col min="2" max="2" width="9.33203125" customWidth="1"/>
    <col min="3" max="3" width="20" customWidth="1"/>
    <col min="4" max="4" width="18" customWidth="1"/>
    <col min="6" max="6" width="8.88671875" hidden="1" customWidth="1"/>
    <col min="7" max="7" width="11.6640625" hidden="1" customWidth="1"/>
    <col min="8" max="8" width="0" hidden="1" customWidth="1"/>
  </cols>
  <sheetData>
    <row r="1" spans="1:7">
      <c r="A1" s="156" t="s">
        <v>119</v>
      </c>
      <c r="B1" s="156"/>
      <c r="C1" s="156"/>
      <c r="D1" s="156"/>
    </row>
    <row r="2" spans="1:7" ht="30" customHeight="1">
      <c r="A2" s="155" t="s">
        <v>383</v>
      </c>
      <c r="B2" s="155"/>
      <c r="C2" s="155"/>
      <c r="D2" s="155"/>
    </row>
    <row r="3" spans="1:7">
      <c r="D3" s="1"/>
    </row>
    <row r="4" spans="1:7" ht="15" thickBot="1">
      <c r="A4" s="2" t="s">
        <v>0</v>
      </c>
      <c r="B4" s="4" t="s">
        <v>1</v>
      </c>
      <c r="C4" s="36" t="s">
        <v>386</v>
      </c>
      <c r="D4" s="44" t="s">
        <v>387</v>
      </c>
    </row>
    <row r="5" spans="1:7">
      <c r="A5" s="7" t="s">
        <v>2</v>
      </c>
      <c r="B5" s="8">
        <v>3</v>
      </c>
      <c r="C5" s="19">
        <f>'[1]ОДР и ПСД'!C5</f>
        <v>4009614.0140999998</v>
      </c>
      <c r="D5" s="19">
        <f>'[1]ОДР и ПСД'!D5</f>
        <v>6063196.0887500001</v>
      </c>
    </row>
    <row r="6" spans="1:7" ht="15" thickBot="1">
      <c r="A6" s="7" t="s">
        <v>3</v>
      </c>
      <c r="B6" s="8">
        <v>4</v>
      </c>
      <c r="C6" s="20">
        <f>'[1]ОДР и ПСД'!C6</f>
        <v>-1448393.5441500002</v>
      </c>
      <c r="D6" s="20">
        <f>'[1]ОДР и ПСД'!D6</f>
        <v>-1344058.5109400006</v>
      </c>
    </row>
    <row r="7" spans="1:7">
      <c r="A7" s="9" t="s">
        <v>4</v>
      </c>
      <c r="B7" s="10"/>
      <c r="C7" s="21">
        <f>'[1]ОДР и ПСД'!C7</f>
        <v>2561220.4699499998</v>
      </c>
      <c r="D7" s="21">
        <f>'[1]ОДР и ПСД'!D7</f>
        <v>4719137.5778099997</v>
      </c>
    </row>
    <row r="8" spans="1:7">
      <c r="A8" s="7" t="s">
        <v>5</v>
      </c>
      <c r="B8" s="8">
        <v>5</v>
      </c>
      <c r="C8" s="19">
        <f>'[1]ОДР и ПСД'!C8</f>
        <v>-1694728.06109</v>
      </c>
      <c r="D8" s="19">
        <f>'[1]ОДР и ПСД'!D8</f>
        <v>-1815138.6716499999</v>
      </c>
    </row>
    <row r="9" spans="1:7">
      <c r="A9" s="7" t="s">
        <v>6</v>
      </c>
      <c r="B9" s="8">
        <v>6</v>
      </c>
      <c r="C9" s="19">
        <f>'[1]ОДР и ПСД'!C9</f>
        <v>-295252.67437999998</v>
      </c>
      <c r="D9" s="19">
        <f>'[1]ОДР и ПСД'!D9</f>
        <v>-207533.81341999999</v>
      </c>
    </row>
    <row r="10" spans="1:7">
      <c r="A10" s="7" t="s">
        <v>249</v>
      </c>
      <c r="B10" s="8">
        <v>7</v>
      </c>
      <c r="C10" s="19">
        <f>'[1]ОДР и ПСД'!C10</f>
        <v>0</v>
      </c>
      <c r="D10" s="19">
        <f>'[1]ОДР и ПСД'!D10</f>
        <v>150</v>
      </c>
    </row>
    <row r="11" spans="1:7">
      <c r="A11" s="7" t="s">
        <v>7</v>
      </c>
      <c r="B11" s="8">
        <v>8</v>
      </c>
      <c r="C11" s="19">
        <f>'[1]ОДР и ПСД'!C11</f>
        <v>-16658.02117</v>
      </c>
      <c r="D11" s="19">
        <f>'[1]ОДР и ПСД'!D11</f>
        <v>-131074.77844000002</v>
      </c>
    </row>
    <row r="12" spans="1:7" ht="15" thickBot="1">
      <c r="A12" s="7" t="s">
        <v>8</v>
      </c>
      <c r="B12" s="8"/>
      <c r="C12" s="20">
        <f>'[1]ОДР и ПСД'!C12</f>
        <v>225413.34153000001</v>
      </c>
      <c r="D12" s="20">
        <f>'[1]ОДР и ПСД'!D12</f>
        <v>0</v>
      </c>
    </row>
    <row r="13" spans="1:7">
      <c r="A13" s="9" t="s">
        <v>10</v>
      </c>
      <c r="B13" s="10"/>
      <c r="C13" s="21">
        <f>'[1]ОДР и ПСД'!C13</f>
        <v>779995.05483999988</v>
      </c>
      <c r="D13" s="21">
        <f>'[1]ОДР и ПСД'!D13</f>
        <v>2565540.3142999997</v>
      </c>
    </row>
    <row r="14" spans="1:7">
      <c r="A14" s="7" t="s">
        <v>11</v>
      </c>
      <c r="B14" s="8" t="s">
        <v>12</v>
      </c>
      <c r="C14" s="19">
        <f>'[1]ОДР и ПСД'!C14</f>
        <v>8428.8001199999999</v>
      </c>
      <c r="D14" s="21">
        <f>'[1]ОДР и ПСД'!D14</f>
        <v>16048.87076</v>
      </c>
      <c r="F14" t="s">
        <v>274</v>
      </c>
      <c r="G14" t="s">
        <v>285</v>
      </c>
    </row>
    <row r="15" spans="1:7">
      <c r="A15" s="7" t="s">
        <v>13</v>
      </c>
      <c r="B15" s="8" t="s">
        <v>14</v>
      </c>
      <c r="C15" s="19">
        <f>'[1]ОДР и ПСД'!C15</f>
        <v>-5902.3902400000024</v>
      </c>
      <c r="D15" s="19">
        <f>'[1]ОДР и ПСД'!D15</f>
        <v>-11647.332</v>
      </c>
      <c r="F15" s="102">
        <f>4666507/1000</f>
        <v>4666.5069999999996</v>
      </c>
      <c r="G15" s="102">
        <f>12473103/1000</f>
        <v>12473.102999999999</v>
      </c>
    </row>
    <row r="16" spans="1:7" ht="15" thickBot="1">
      <c r="A16" s="7" t="s">
        <v>282</v>
      </c>
      <c r="B16" s="10"/>
      <c r="C16" s="20">
        <f>'[1]ОДР и ПСД'!C16</f>
        <v>-198270.59649000003</v>
      </c>
      <c r="D16" s="20">
        <f>'[1]ОДР и ПСД'!D16</f>
        <v>989064.85673000023</v>
      </c>
    </row>
    <row r="17" spans="1:4">
      <c r="A17" s="9" t="s">
        <v>15</v>
      </c>
      <c r="B17" s="10"/>
      <c r="C17" s="21">
        <f>'[1]ОДР и ПСД'!C17</f>
        <v>584250.86822999991</v>
      </c>
      <c r="D17" s="21">
        <f>'[1]ОДР и ПСД'!D17</f>
        <v>3559006.7097899998</v>
      </c>
    </row>
    <row r="18" spans="1:4" ht="15" thickBot="1">
      <c r="A18" s="7" t="s">
        <v>16</v>
      </c>
      <c r="B18" s="8" t="s">
        <v>17</v>
      </c>
      <c r="C18" s="20">
        <f>'[1]ОДР и ПСД'!C18</f>
        <v>-207061.78400000001</v>
      </c>
      <c r="D18" s="20">
        <f>'[1]ОДР и ПСД'!D18</f>
        <v>-793529.74</v>
      </c>
    </row>
    <row r="19" spans="1:4">
      <c r="A19" s="9" t="s">
        <v>334</v>
      </c>
      <c r="B19" s="10"/>
      <c r="C19" s="21">
        <f>'[1]ОДР и ПСД'!C19</f>
        <v>377189.08422999992</v>
      </c>
      <c r="D19" s="21">
        <f>'[1]ОДР и ПСД'!D19</f>
        <v>2765476.9697899995</v>
      </c>
    </row>
    <row r="20" spans="1:4" ht="15" thickBot="1">
      <c r="A20" s="7" t="s">
        <v>18</v>
      </c>
      <c r="B20" s="10"/>
      <c r="C20" s="20">
        <f>'[1]ОДР и ПСД'!C20</f>
        <v>0</v>
      </c>
      <c r="D20" s="20">
        <f>'[1]ОДР и ПСД'!D20</f>
        <v>0</v>
      </c>
    </row>
    <row r="21" spans="1:4" ht="15" thickBot="1">
      <c r="A21" s="9" t="s">
        <v>335</v>
      </c>
      <c r="B21" s="10"/>
      <c r="C21" s="22">
        <f>'[1]ОДР и ПСД'!C21</f>
        <v>377189.08422999992</v>
      </c>
      <c r="D21" s="22">
        <f>'[1]ОДР и ПСД'!D21</f>
        <v>2765476.9697899995</v>
      </c>
    </row>
    <row r="22" spans="1:4" ht="15" thickTop="1">
      <c r="A22" s="11"/>
      <c r="B22" s="11"/>
      <c r="C22" s="23">
        <f>'[1]ОДР и ПСД'!C22</f>
        <v>0</v>
      </c>
      <c r="D22" s="23">
        <f>'[1]ОДР и ПСД'!D22</f>
        <v>0</v>
      </c>
    </row>
    <row r="23" spans="1:4" ht="15" thickBot="1">
      <c r="A23" s="7" t="s">
        <v>20</v>
      </c>
      <c r="B23" s="8" t="s">
        <v>21</v>
      </c>
      <c r="C23" s="20">
        <f>'[1]ОДР и ПСД'!C23</f>
        <v>68.579833496363619</v>
      </c>
      <c r="D23" s="20">
        <f>'[1]ОДР и ПСД'!D23</f>
        <v>502.81399450727258</v>
      </c>
    </row>
    <row r="24" spans="1:4">
      <c r="A24" s="13"/>
    </row>
    <row r="25" spans="1:4">
      <c r="A25" s="12"/>
      <c r="C25" s="28"/>
    </row>
    <row r="26" spans="1:4">
      <c r="A26" s="12"/>
      <c r="C26" s="28"/>
    </row>
    <row r="27" spans="1:4">
      <c r="A27" s="12" t="s">
        <v>382</v>
      </c>
    </row>
    <row r="28" spans="1:4">
      <c r="A28" s="12"/>
    </row>
    <row r="29" spans="1:4">
      <c r="A29" s="12"/>
    </row>
    <row r="30" spans="1:4">
      <c r="A30" s="12" t="s">
        <v>22</v>
      </c>
    </row>
    <row r="31" spans="1:4" ht="6.6" customHeight="1">
      <c r="A31" s="14" t="s">
        <v>23</v>
      </c>
    </row>
    <row r="32" spans="1:4">
      <c r="A32" s="15" t="s">
        <v>24</v>
      </c>
      <c r="C32" s="15" t="s">
        <v>25</v>
      </c>
    </row>
    <row r="33" spans="1:3" ht="6" customHeight="1">
      <c r="A33" s="12"/>
    </row>
    <row r="34" spans="1:3">
      <c r="A34" s="12" t="s">
        <v>26</v>
      </c>
      <c r="C34" s="12" t="s">
        <v>27</v>
      </c>
    </row>
    <row r="35" spans="1:3" ht="6" customHeight="1">
      <c r="A35" s="12"/>
    </row>
    <row r="36" spans="1:3">
      <c r="A36" s="12" t="s">
        <v>374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6"/>
  <sheetViews>
    <sheetView zoomScaleNormal="100" workbookViewId="0">
      <selection activeCell="D7" sqref="D7"/>
    </sheetView>
  </sheetViews>
  <sheetFormatPr defaultRowHeight="14.4"/>
  <cols>
    <col min="1" max="1" width="60.33203125" customWidth="1"/>
    <col min="3" max="4" width="17.5546875" customWidth="1"/>
    <col min="8" max="8" width="0" hidden="1" customWidth="1"/>
    <col min="9" max="9" width="17" hidden="1" customWidth="1"/>
    <col min="10" max="10" width="16.5546875" hidden="1" customWidth="1"/>
    <col min="11" max="11" width="18" hidden="1" customWidth="1"/>
    <col min="12" max="12" width="9.109375" hidden="1" customWidth="1"/>
    <col min="13" max="14" width="0" hidden="1" customWidth="1"/>
  </cols>
  <sheetData>
    <row r="1" spans="1:10">
      <c r="A1" s="156" t="s">
        <v>119</v>
      </c>
      <c r="B1" s="156"/>
      <c r="C1" s="156"/>
      <c r="D1" s="156"/>
    </row>
    <row r="2" spans="1:10" ht="39.75" customHeight="1">
      <c r="A2" s="155" t="s">
        <v>247</v>
      </c>
      <c r="B2" s="155"/>
      <c r="C2" s="155"/>
      <c r="D2" s="155"/>
    </row>
    <row r="3" spans="1:10">
      <c r="A3" s="1"/>
      <c r="B3" s="1"/>
      <c r="C3" s="1"/>
      <c r="D3" s="4"/>
    </row>
    <row r="4" spans="1:10">
      <c r="A4" s="2" t="s">
        <v>63</v>
      </c>
      <c r="B4" s="4" t="s">
        <v>1</v>
      </c>
      <c r="C4" s="5">
        <v>2022</v>
      </c>
      <c r="D4" s="5">
        <v>2021</v>
      </c>
    </row>
    <row r="5" spans="1:10" ht="15" thickBot="1">
      <c r="A5" s="3"/>
      <c r="B5" s="3"/>
      <c r="C5" s="6"/>
      <c r="D5" s="6"/>
    </row>
    <row r="6" spans="1:10">
      <c r="A6" s="9" t="s">
        <v>64</v>
      </c>
      <c r="B6" s="10"/>
      <c r="C6" s="10"/>
      <c r="D6" s="10"/>
    </row>
    <row r="7" spans="1:10">
      <c r="A7" s="7" t="s">
        <v>15</v>
      </c>
      <c r="B7" s="10"/>
      <c r="C7" s="19">
        <f>'ОДР и ПСД'!C17</f>
        <v>584250.86822999991</v>
      </c>
      <c r="D7" s="47">
        <v>803404</v>
      </c>
      <c r="I7" t="s">
        <v>113</v>
      </c>
    </row>
    <row r="8" spans="1:10">
      <c r="A8" s="7" t="s">
        <v>65</v>
      </c>
      <c r="B8" s="10"/>
      <c r="C8" s="37"/>
      <c r="D8" s="48"/>
    </row>
    <row r="9" spans="1:10">
      <c r="A9" s="7" t="s">
        <v>11</v>
      </c>
      <c r="B9" s="8" t="s">
        <v>12</v>
      </c>
      <c r="C9" s="19">
        <f>-'ОДР и ПСД'!C14</f>
        <v>-8428.8001199999999</v>
      </c>
      <c r="D9" s="47">
        <v>-6055</v>
      </c>
      <c r="I9" s="18" t="s">
        <v>106</v>
      </c>
    </row>
    <row r="10" spans="1:10">
      <c r="A10" s="7" t="s">
        <v>13</v>
      </c>
      <c r="B10" s="8" t="s">
        <v>14</v>
      </c>
      <c r="C10" s="19">
        <f>-'ОДР и ПСД'!C15</f>
        <v>5902.3902400000024</v>
      </c>
      <c r="D10" s="47">
        <v>24583</v>
      </c>
      <c r="I10" t="s">
        <v>110</v>
      </c>
      <c r="J10" s="42">
        <v>2021</v>
      </c>
    </row>
    <row r="11" spans="1:10">
      <c r="A11" s="7" t="s">
        <v>66</v>
      </c>
      <c r="B11" s="8">
        <v>4.5999999999999996</v>
      </c>
      <c r="C11" s="19">
        <f>J15/1000</f>
        <v>346580.48984000005</v>
      </c>
      <c r="D11" s="47">
        <v>309383</v>
      </c>
      <c r="I11" t="s">
        <v>102</v>
      </c>
      <c r="J11" s="30">
        <v>1541402.38</v>
      </c>
    </row>
    <row r="12" spans="1:10">
      <c r="A12" s="7" t="s">
        <v>8</v>
      </c>
      <c r="B12" s="8">
        <v>8</v>
      </c>
      <c r="C12" s="19">
        <v>0</v>
      </c>
      <c r="D12" s="47">
        <v>155521</v>
      </c>
      <c r="I12" t="s">
        <v>103</v>
      </c>
      <c r="J12" s="30">
        <v>328430212.48000002</v>
      </c>
    </row>
    <row r="13" spans="1:10">
      <c r="A13" s="7" t="s">
        <v>67</v>
      </c>
      <c r="B13" s="29">
        <v>7</v>
      </c>
      <c r="C13" s="47">
        <v>19187</v>
      </c>
      <c r="D13" s="47">
        <v>30839</v>
      </c>
      <c r="I13" t="s">
        <v>104</v>
      </c>
      <c r="J13" s="30">
        <v>9729731.6799999997</v>
      </c>
    </row>
    <row r="14" spans="1:10">
      <c r="A14" s="7" t="s">
        <v>98</v>
      </c>
      <c r="B14" s="10"/>
      <c r="C14" s="47"/>
      <c r="D14" s="47"/>
      <c r="I14" t="s">
        <v>105</v>
      </c>
      <c r="J14" s="30">
        <v>6879143.2999999998</v>
      </c>
    </row>
    <row r="15" spans="1:10" ht="15" thickBot="1">
      <c r="A15" s="7" t="s">
        <v>68</v>
      </c>
      <c r="B15" s="10"/>
      <c r="C15" s="49">
        <f>-J22/1000</f>
        <v>-1506.550379999999</v>
      </c>
      <c r="D15" s="49">
        <v>-13</v>
      </c>
      <c r="J15" s="60">
        <f>SUM(J11:J14)</f>
        <v>346580489.84000003</v>
      </c>
    </row>
    <row r="16" spans="1:10">
      <c r="A16" s="159" t="s">
        <v>69</v>
      </c>
      <c r="B16" s="158"/>
      <c r="C16" s="50"/>
      <c r="D16" s="50"/>
      <c r="I16" s="18" t="s">
        <v>107</v>
      </c>
      <c r="J16" s="30"/>
    </row>
    <row r="17" spans="1:11" s="18" customFormat="1">
      <c r="A17" s="159"/>
      <c r="B17" s="158"/>
      <c r="C17" s="51">
        <f>SUM(C7:C15)</f>
        <v>945985.39780999988</v>
      </c>
      <c r="D17" s="52">
        <f>SUM(D7:D15)</f>
        <v>1317662</v>
      </c>
      <c r="I17" s="18" t="s">
        <v>110</v>
      </c>
      <c r="J17" s="157">
        <v>2021</v>
      </c>
      <c r="K17" s="157"/>
    </row>
    <row r="18" spans="1:11">
      <c r="A18" s="7" t="s">
        <v>70</v>
      </c>
      <c r="B18" s="10"/>
      <c r="C18" s="19">
        <f>-(ОФП!C16-ОФП!D16)</f>
        <v>28297.303709999775</v>
      </c>
      <c r="D18" s="47">
        <v>-2304766</v>
      </c>
      <c r="J18" s="41" t="s">
        <v>108</v>
      </c>
      <c r="K18" s="42" t="s">
        <v>109</v>
      </c>
    </row>
    <row r="19" spans="1:11">
      <c r="A19" s="7" t="s">
        <v>71</v>
      </c>
      <c r="B19" s="10"/>
      <c r="C19" s="19">
        <f>-ОФП!C17+ОФП!D17</f>
        <v>-108440.35715999999</v>
      </c>
      <c r="D19" s="47">
        <v>-750773</v>
      </c>
      <c r="I19">
        <v>1030</v>
      </c>
      <c r="J19" s="30">
        <v>30291221.57</v>
      </c>
      <c r="K19" s="30">
        <v>-29797091.84</v>
      </c>
    </row>
    <row r="20" spans="1:11">
      <c r="A20" s="7" t="s">
        <v>72</v>
      </c>
      <c r="B20" s="10"/>
      <c r="C20" s="19">
        <f>-(ОФП!C19-ОФП!D19)</f>
        <v>134794.01183999993</v>
      </c>
      <c r="D20" s="47">
        <v>-1462310</v>
      </c>
      <c r="I20">
        <v>1050</v>
      </c>
      <c r="J20" s="30">
        <v>1634987.2</v>
      </c>
      <c r="K20" s="30">
        <v>-622566.55000000005</v>
      </c>
    </row>
    <row r="21" spans="1:11">
      <c r="A21" s="7" t="s">
        <v>73</v>
      </c>
      <c r="B21" s="10"/>
      <c r="C21" s="19">
        <f>ОФП!C40-ОФП!D40</f>
        <v>408526.70644999994</v>
      </c>
      <c r="D21" s="47">
        <v>108521</v>
      </c>
      <c r="I21" t="s">
        <v>100</v>
      </c>
      <c r="J21" s="30">
        <f>SUM(J19:J20)</f>
        <v>31926208.77</v>
      </c>
      <c r="K21" s="30">
        <f>SUM(K19:K20)</f>
        <v>-30419658.390000001</v>
      </c>
    </row>
    <row r="22" spans="1:11" ht="15" thickBot="1">
      <c r="A22" s="7" t="s">
        <v>99</v>
      </c>
      <c r="B22" s="10"/>
      <c r="C22" s="20">
        <f>ОФП!C39-ОФП!D39</f>
        <v>-28827.133740000019</v>
      </c>
      <c r="D22" s="49">
        <v>1443425</v>
      </c>
      <c r="I22" s="18" t="s">
        <v>111</v>
      </c>
      <c r="J22" s="60">
        <f>J21+K21</f>
        <v>1506550.379999999</v>
      </c>
      <c r="K22" s="30"/>
    </row>
    <row r="23" spans="1:11">
      <c r="A23" s="160" t="s">
        <v>74</v>
      </c>
      <c r="B23" s="39"/>
      <c r="C23" s="53"/>
      <c r="D23" s="54"/>
      <c r="J23" s="30"/>
      <c r="K23" s="30"/>
    </row>
    <row r="24" spans="1:11">
      <c r="A24" s="160"/>
      <c r="B24" s="40">
        <v>23</v>
      </c>
      <c r="C24" s="51">
        <f>C17+C18+C19+C20+C21+C22</f>
        <v>1380335.9289099996</v>
      </c>
      <c r="D24" s="52">
        <f>D17+D18+D19+D20+D21+D22</f>
        <v>-1648241</v>
      </c>
      <c r="I24" s="18" t="s">
        <v>112</v>
      </c>
      <c r="J24" s="30"/>
    </row>
    <row r="25" spans="1:11">
      <c r="A25" s="7" t="s">
        <v>75</v>
      </c>
      <c r="B25" s="10"/>
      <c r="C25" s="47">
        <f>J27/1000</f>
        <v>6953.7840300000007</v>
      </c>
      <c r="D25" s="47">
        <v>5544</v>
      </c>
      <c r="I25">
        <v>6110</v>
      </c>
      <c r="J25" s="30">
        <v>7203940.3300000001</v>
      </c>
    </row>
    <row r="26" spans="1:11" ht="15" thickBot="1">
      <c r="A26" s="7" t="s">
        <v>76</v>
      </c>
      <c r="B26" s="10"/>
      <c r="C26" s="20">
        <v>-130000</v>
      </c>
      <c r="D26" s="49" t="s">
        <v>19</v>
      </c>
      <c r="I26">
        <v>1412</v>
      </c>
      <c r="J26" s="30">
        <v>250156.3</v>
      </c>
    </row>
    <row r="27" spans="1:11">
      <c r="A27" s="161" t="s">
        <v>77</v>
      </c>
      <c r="B27" s="158"/>
      <c r="C27" s="50"/>
      <c r="D27" s="55"/>
      <c r="J27" s="31">
        <f>J25-J26</f>
        <v>6953784.0300000003</v>
      </c>
    </row>
    <row r="28" spans="1:11" ht="15" thickBot="1">
      <c r="A28" s="161"/>
      <c r="B28" s="158"/>
      <c r="C28" s="56">
        <f>C24+C25+C26</f>
        <v>1257289.7129399995</v>
      </c>
      <c r="D28" s="57">
        <f>D24+D25</f>
        <v>-1642697</v>
      </c>
      <c r="J28" s="30"/>
    </row>
    <row r="29" spans="1:11">
      <c r="A29" s="11"/>
      <c r="B29" s="158"/>
      <c r="C29" s="162"/>
      <c r="D29" s="164"/>
      <c r="I29" t="s">
        <v>114</v>
      </c>
      <c r="J29" t="s">
        <v>120</v>
      </c>
    </row>
    <row r="30" spans="1:11">
      <c r="A30" s="9" t="s">
        <v>78</v>
      </c>
      <c r="B30" s="158"/>
      <c r="C30" s="163"/>
      <c r="D30" s="165"/>
      <c r="I30" t="s">
        <v>115</v>
      </c>
      <c r="J30" s="43">
        <v>384223102.47000003</v>
      </c>
      <c r="K30" s="30">
        <v>515015496.66000003</v>
      </c>
    </row>
    <row r="31" spans="1:11">
      <c r="A31" s="7" t="s">
        <v>79</v>
      </c>
      <c r="B31" s="8">
        <v>11</v>
      </c>
      <c r="C31" s="47">
        <f>(-J30-J32)/1000</f>
        <v>-676617.79695000011</v>
      </c>
      <c r="D31" s="47">
        <v>-3441079</v>
      </c>
      <c r="I31" t="s">
        <v>116</v>
      </c>
      <c r="J31" s="43">
        <v>26383928.579999998</v>
      </c>
      <c r="K31" s="30">
        <f>J31*1.12</f>
        <v>29550000.009600002</v>
      </c>
    </row>
    <row r="32" spans="1:11">
      <c r="A32" s="7" t="s">
        <v>80</v>
      </c>
      <c r="B32" s="8">
        <v>13</v>
      </c>
      <c r="C32" s="47">
        <f>-J31/1000</f>
        <v>-26383.92858</v>
      </c>
      <c r="D32" s="47">
        <v>-22894</v>
      </c>
      <c r="I32" t="s">
        <v>117</v>
      </c>
      <c r="J32" s="43">
        <v>292394694.48000002</v>
      </c>
      <c r="K32" s="30"/>
    </row>
    <row r="33" spans="1:10">
      <c r="A33" s="7" t="s">
        <v>81</v>
      </c>
      <c r="B33" s="8">
        <v>17</v>
      </c>
      <c r="C33" s="47">
        <f>-J34/1000</f>
        <v>-12126.2</v>
      </c>
      <c r="D33" s="47">
        <v>-80626</v>
      </c>
      <c r="J33" s="43"/>
    </row>
    <row r="34" spans="1:10" ht="15" thickBot="1">
      <c r="A34" s="7" t="s">
        <v>82</v>
      </c>
      <c r="B34" s="8">
        <v>19</v>
      </c>
      <c r="C34" s="49">
        <f>-1977.07143-27322+239</f>
        <v>-29060.07143</v>
      </c>
      <c r="D34" s="49">
        <v>-14165</v>
      </c>
      <c r="I34" t="s">
        <v>118</v>
      </c>
      <c r="J34" s="43">
        <v>12126200</v>
      </c>
    </row>
    <row r="35" spans="1:10" ht="24.6" thickBot="1">
      <c r="A35" s="9" t="s">
        <v>83</v>
      </c>
      <c r="B35" s="10"/>
      <c r="C35" s="57">
        <f>SUM(C31:C34)</f>
        <v>-744187.99696000002</v>
      </c>
      <c r="D35" s="57">
        <f>SUM(D31:D34)</f>
        <v>-3558764</v>
      </c>
      <c r="J35" s="43"/>
    </row>
    <row r="36" spans="1:10">
      <c r="A36" s="11"/>
      <c r="B36" s="158"/>
      <c r="C36" s="164"/>
      <c r="D36" s="164"/>
      <c r="J36" s="43"/>
    </row>
    <row r="37" spans="1:10">
      <c r="A37" s="9" t="s">
        <v>84</v>
      </c>
      <c r="B37" s="158"/>
      <c r="C37" s="165"/>
      <c r="D37" s="165"/>
      <c r="J37" s="43"/>
    </row>
    <row r="38" spans="1:10">
      <c r="A38" s="7" t="s">
        <v>85</v>
      </c>
      <c r="B38" s="8" t="s">
        <v>47</v>
      </c>
      <c r="C38" s="47">
        <v>0</v>
      </c>
      <c r="D38" s="47">
        <v>5370000</v>
      </c>
      <c r="J38" s="43"/>
    </row>
    <row r="39" spans="1:10" ht="15" thickBot="1">
      <c r="A39" s="7" t="s">
        <v>86</v>
      </c>
      <c r="B39" s="8" t="s">
        <v>52</v>
      </c>
      <c r="C39" s="49">
        <v>-11260</v>
      </c>
      <c r="D39" s="49">
        <v>-12960</v>
      </c>
    </row>
    <row r="40" spans="1:10" ht="15" thickBot="1">
      <c r="A40" s="9" t="s">
        <v>87</v>
      </c>
      <c r="B40" s="10"/>
      <c r="C40" s="57">
        <f>SUM(C38:C39)</f>
        <v>-11260</v>
      </c>
      <c r="D40" s="57">
        <f>SUM(D38:D39)</f>
        <v>5357040</v>
      </c>
    </row>
    <row r="41" spans="1:10">
      <c r="A41" s="11"/>
      <c r="B41" s="158"/>
      <c r="C41" s="58"/>
      <c r="D41" s="58"/>
    </row>
    <row r="42" spans="1:10">
      <c r="A42" s="7" t="s">
        <v>88</v>
      </c>
      <c r="B42" s="158"/>
      <c r="C42" s="47">
        <f>C28+C35+C40</f>
        <v>501841.71597999951</v>
      </c>
      <c r="D42" s="47">
        <f>D28+D35+D40</f>
        <v>155579</v>
      </c>
    </row>
    <row r="43" spans="1:10">
      <c r="A43" s="7" t="s">
        <v>89</v>
      </c>
      <c r="B43" s="10"/>
      <c r="C43" s="47">
        <f>-C15</f>
        <v>1506.550379999999</v>
      </c>
      <c r="D43" s="47">
        <v>13</v>
      </c>
    </row>
    <row r="44" spans="1:10" ht="15" thickBot="1">
      <c r="A44" s="7" t="s">
        <v>90</v>
      </c>
      <c r="B44" s="10"/>
      <c r="C44" s="49">
        <f>D45</f>
        <v>247136</v>
      </c>
      <c r="D44" s="49">
        <v>91544</v>
      </c>
      <c r="E44" s="24"/>
    </row>
    <row r="45" spans="1:10" ht="15" thickBot="1">
      <c r="A45" s="9" t="s">
        <v>91</v>
      </c>
      <c r="B45" s="8">
        <v>17</v>
      </c>
      <c r="C45" s="59">
        <f>SUM(C42:C44)</f>
        <v>750484.26635999954</v>
      </c>
      <c r="D45" s="59">
        <f>SUM(D42:D44)</f>
        <v>247136</v>
      </c>
    </row>
    <row r="46" spans="1:10" ht="15" thickTop="1">
      <c r="A46" s="25"/>
      <c r="C46" s="46"/>
      <c r="D46" s="46"/>
    </row>
    <row r="47" spans="1:10">
      <c r="A47" s="26" t="s">
        <v>92</v>
      </c>
      <c r="C47" s="35"/>
    </row>
    <row r="48" spans="1:10">
      <c r="A48" s="27"/>
    </row>
    <row r="49" spans="1:4">
      <c r="A49" s="16"/>
      <c r="B49" s="16"/>
      <c r="C49" s="16"/>
      <c r="D49" s="4"/>
    </row>
    <row r="50" spans="1:4">
      <c r="A50" s="2" t="s">
        <v>63</v>
      </c>
      <c r="B50" s="4" t="s">
        <v>1</v>
      </c>
      <c r="C50" s="5">
        <v>2021</v>
      </c>
      <c r="D50" s="5">
        <v>2020</v>
      </c>
    </row>
    <row r="51" spans="1:4" ht="15" thickBot="1">
      <c r="A51" s="3"/>
      <c r="B51" s="3"/>
      <c r="C51" s="6"/>
      <c r="D51" s="6"/>
    </row>
    <row r="52" spans="1:4">
      <c r="A52" s="7" t="s">
        <v>93</v>
      </c>
      <c r="B52" s="8">
        <v>19</v>
      </c>
      <c r="C52" s="19" t="s">
        <v>9</v>
      </c>
      <c r="D52" s="19">
        <v>413448</v>
      </c>
    </row>
    <row r="53" spans="1:4">
      <c r="A53" s="7" t="s">
        <v>94</v>
      </c>
      <c r="B53" s="8">
        <v>19</v>
      </c>
      <c r="C53" s="19" t="s">
        <v>9</v>
      </c>
      <c r="D53" s="19">
        <v>30127</v>
      </c>
    </row>
    <row r="54" spans="1:4">
      <c r="A54" s="7" t="s">
        <v>95</v>
      </c>
      <c r="B54" s="8">
        <v>20</v>
      </c>
      <c r="C54" s="19">
        <v>60217</v>
      </c>
      <c r="D54" s="19">
        <v>59262</v>
      </c>
    </row>
    <row r="55" spans="1:4">
      <c r="A55" s="7" t="s">
        <v>96</v>
      </c>
      <c r="B55" s="8">
        <v>20</v>
      </c>
      <c r="C55" s="19">
        <v>-42564</v>
      </c>
      <c r="D55" s="19">
        <v>-4878</v>
      </c>
    </row>
    <row r="56" spans="1:4" ht="15" thickBot="1">
      <c r="A56" s="7" t="s">
        <v>97</v>
      </c>
      <c r="B56" s="10"/>
      <c r="C56" s="20">
        <v>773</v>
      </c>
      <c r="D56" s="20">
        <v>511</v>
      </c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G138"/>
  <sheetViews>
    <sheetView topLeftCell="A30" zoomScale="90" zoomScaleNormal="90" workbookViewId="0">
      <selection activeCell="C9" sqref="C9"/>
    </sheetView>
  </sheetViews>
  <sheetFormatPr defaultRowHeight="14.4"/>
  <cols>
    <col min="1" max="1" width="60.33203125" customWidth="1"/>
    <col min="2" max="2" width="10.6640625" customWidth="1"/>
    <col min="3" max="4" width="17.5546875" customWidth="1"/>
    <col min="6" max="6" width="13.44140625" bestFit="1" customWidth="1"/>
    <col min="9" max="9" width="9.109375" customWidth="1"/>
  </cols>
  <sheetData>
    <row r="1" spans="1:7">
      <c r="A1" s="156" t="s">
        <v>119</v>
      </c>
      <c r="B1" s="156"/>
      <c r="C1" s="156"/>
      <c r="D1" s="156"/>
    </row>
    <row r="2" spans="1:7" ht="39.75" customHeight="1">
      <c r="A2" s="152" t="s">
        <v>384</v>
      </c>
      <c r="B2" s="152"/>
      <c r="C2" s="152"/>
      <c r="D2" s="152"/>
    </row>
    <row r="3" spans="1:7">
      <c r="A3" s="1"/>
      <c r="B3" s="1"/>
      <c r="C3" s="1"/>
      <c r="D3" s="4"/>
    </row>
    <row r="4" spans="1:7" ht="15" thickBot="1">
      <c r="A4" s="9" t="s">
        <v>64</v>
      </c>
      <c r="B4" s="10"/>
      <c r="C4" s="36" t="s">
        <v>386</v>
      </c>
      <c r="D4" s="44" t="s">
        <v>387</v>
      </c>
    </row>
    <row r="5" spans="1:7">
      <c r="A5" s="7" t="s">
        <v>15</v>
      </c>
      <c r="B5" s="10"/>
      <c r="C5" s="19">
        <f>[1]ОДДС_К!C6</f>
        <v>584162.60565000004</v>
      </c>
      <c r="D5" s="19">
        <f>[1]ОДДС_К!D6</f>
        <v>3559006.7097899998</v>
      </c>
    </row>
    <row r="6" spans="1:7">
      <c r="A6" s="7" t="s">
        <v>65</v>
      </c>
      <c r="B6" s="10"/>
      <c r="C6" s="154" t="s">
        <v>9</v>
      </c>
      <c r="D6" s="19" t="str">
        <f>[1]ОДДС_К!D7</f>
        <v>-</v>
      </c>
    </row>
    <row r="7" spans="1:7">
      <c r="A7" s="7" t="s">
        <v>11</v>
      </c>
      <c r="B7" s="8" t="s">
        <v>12</v>
      </c>
      <c r="C7" s="19">
        <f>[1]ОДДС_К!C8</f>
        <v>-8427.5001200000006</v>
      </c>
      <c r="D7" s="19">
        <f>[1]ОДДС_К!D8</f>
        <v>-16048.87076</v>
      </c>
      <c r="F7" s="28"/>
      <c r="G7" s="28"/>
    </row>
    <row r="8" spans="1:7">
      <c r="A8" s="7" t="s">
        <v>13</v>
      </c>
      <c r="B8" s="8" t="s">
        <v>14</v>
      </c>
      <c r="C8" s="19">
        <f>[1]ОДДС_К!C9</f>
        <v>15051.257</v>
      </c>
      <c r="D8" s="19">
        <f>[1]ОДДС_К!D9</f>
        <v>11647.331999999999</v>
      </c>
    </row>
    <row r="9" spans="1:7">
      <c r="A9" s="7" t="s">
        <v>66</v>
      </c>
      <c r="B9" s="8">
        <v>4.5999999999999996</v>
      </c>
      <c r="C9" s="19">
        <f>[1]ОДДС_К!C10</f>
        <v>481480.65416999999</v>
      </c>
      <c r="D9" s="19">
        <f>[1]ОДДС_К!D10</f>
        <v>332228.44430000003</v>
      </c>
      <c r="F9" s="28"/>
      <c r="G9" s="28"/>
    </row>
    <row r="10" spans="1:7">
      <c r="A10" s="7" t="s">
        <v>370</v>
      </c>
      <c r="B10" s="8">
        <v>8</v>
      </c>
      <c r="C10" s="19">
        <f>[1]ОДДС_К!C11</f>
        <v>-225413.34153000001</v>
      </c>
      <c r="D10" s="19" t="str">
        <f>[1]ОДДС_К!D11</f>
        <v>-</v>
      </c>
      <c r="F10" s="28"/>
      <c r="G10" s="28"/>
    </row>
    <row r="11" spans="1:7">
      <c r="A11" s="7" t="s">
        <v>67</v>
      </c>
      <c r="B11" s="8">
        <v>7</v>
      </c>
      <c r="C11" s="47">
        <f>[1]ОДДС_К!C12</f>
        <v>427.08326</v>
      </c>
      <c r="D11" s="19">
        <f>[1]ОДДС_К!D12</f>
        <v>9640.3940899999998</v>
      </c>
    </row>
    <row r="12" spans="1:7">
      <c r="A12" s="7" t="s">
        <v>98</v>
      </c>
      <c r="B12" s="10"/>
      <c r="C12" s="19" t="str">
        <f>[1]ОДДС_К!C13</f>
        <v>-</v>
      </c>
      <c r="D12" s="19" t="str">
        <f>[1]ОДДС_К!D13</f>
        <v>-</v>
      </c>
    </row>
    <row r="13" spans="1:7" ht="15" thickBot="1">
      <c r="A13" s="7" t="s">
        <v>371</v>
      </c>
      <c r="B13" s="10"/>
      <c r="C13" s="49">
        <f>[1]ОДДС_К!C14</f>
        <v>-245182.49358999991</v>
      </c>
      <c r="D13" s="49">
        <f>[1]ОДДС_К!D14</f>
        <v>72427.887680000014</v>
      </c>
    </row>
    <row r="14" spans="1:7" ht="22.5" customHeight="1">
      <c r="A14" s="137" t="s">
        <v>69</v>
      </c>
      <c r="B14" s="138"/>
      <c r="C14" s="51">
        <f>[1]ОДДС_К!C15</f>
        <v>602098.26484000008</v>
      </c>
      <c r="D14" s="51">
        <f>[1]ОДДС_К!D15</f>
        <v>3968901.8971000002</v>
      </c>
    </row>
    <row r="15" spans="1:7">
      <c r="A15" s="7" t="s">
        <v>70</v>
      </c>
      <c r="B15" s="10"/>
      <c r="C15" s="19">
        <f>[1]ОДДС_К!C16</f>
        <v>-646117.52171</v>
      </c>
      <c r="D15" s="19">
        <f>[1]ОДДС_К!D16</f>
        <v>-756829.57435999997</v>
      </c>
    </row>
    <row r="16" spans="1:7" ht="14.4" customHeight="1">
      <c r="A16" s="7" t="s">
        <v>71</v>
      </c>
      <c r="B16" s="10"/>
      <c r="C16" s="19">
        <f>[1]ОДДС_К!C17</f>
        <v>28297.736259999452</v>
      </c>
      <c r="D16" s="19">
        <f>[1]ОДДС_К!D17</f>
        <v>-518389.98473999999</v>
      </c>
    </row>
    <row r="17" spans="1:4" s="18" customFormat="1">
      <c r="A17" s="7" t="s">
        <v>72</v>
      </c>
      <c r="B17" s="10"/>
      <c r="C17" s="19">
        <f>[1]ОДДС_К!C18</f>
        <v>141189.00748000029</v>
      </c>
      <c r="D17" s="19">
        <f>[1]ОДДС_К!D18</f>
        <v>-1390133.9912999999</v>
      </c>
    </row>
    <row r="18" spans="1:4">
      <c r="A18" s="7" t="s">
        <v>73</v>
      </c>
      <c r="B18" s="10"/>
      <c r="C18" s="19">
        <f>[1]ОДДС_К!C19</f>
        <v>-28279.031750000024</v>
      </c>
      <c r="D18" s="19">
        <f>[1]ОДДС_К!D19</f>
        <v>98373.425180000006</v>
      </c>
    </row>
    <row r="19" spans="1:4" ht="15" thickBot="1">
      <c r="A19" s="7" t="s">
        <v>99</v>
      </c>
      <c r="B19" s="10"/>
      <c r="C19" s="20">
        <f>[1]ОДДС_К!C20</f>
        <v>414287.13461999997</v>
      </c>
      <c r="D19" s="20">
        <f>[1]ОДДС_К!D20</f>
        <v>212615</v>
      </c>
    </row>
    <row r="20" spans="1:4" ht="24">
      <c r="A20" s="137" t="s">
        <v>74</v>
      </c>
      <c r="B20" s="40"/>
      <c r="C20" s="51">
        <f>[1]ОДДС_К!C21</f>
        <v>511475.58973999973</v>
      </c>
      <c r="D20" s="51">
        <f>[1]ОДДС_К!D21</f>
        <v>1614536.7718800006</v>
      </c>
    </row>
    <row r="21" spans="1:4">
      <c r="A21" s="7" t="s">
        <v>75</v>
      </c>
      <c r="B21" s="10"/>
      <c r="C21" s="47">
        <f>[1]ОДДС_К!C22</f>
        <v>8428.8001199999999</v>
      </c>
      <c r="D21" s="47">
        <f>[1]ОДДС_К!D22</f>
        <v>16048.87076</v>
      </c>
    </row>
    <row r="22" spans="1:4" ht="15" thickBot="1">
      <c r="A22" s="7" t="s">
        <v>76</v>
      </c>
      <c r="B22" s="10"/>
      <c r="C22" s="20">
        <f>[1]ОДДС_К!C23</f>
        <v>-315989.67914999998</v>
      </c>
      <c r="D22" s="20">
        <f>[1]ОДДС_К!D23</f>
        <v>-1090503.3999999999</v>
      </c>
    </row>
    <row r="23" spans="1:4" ht="14.4" customHeight="1" thickBot="1">
      <c r="A23" s="139" t="s">
        <v>284</v>
      </c>
      <c r="B23" s="138"/>
      <c r="C23" s="56">
        <f>[1]ОДДС_К!C24</f>
        <v>203914.71070999978</v>
      </c>
      <c r="D23" s="56">
        <f>[1]ОДДС_К!D24</f>
        <v>540082.24264000077</v>
      </c>
    </row>
    <row r="24" spans="1:4">
      <c r="A24" s="107" t="s">
        <v>78</v>
      </c>
      <c r="B24" s="138"/>
      <c r="C24" s="74">
        <f>[1]ОДДС_К!C25</f>
        <v>0</v>
      </c>
      <c r="D24" s="74">
        <f>[1]ОДДС_К!D25</f>
        <v>0</v>
      </c>
    </row>
    <row r="25" spans="1:4">
      <c r="A25" s="7" t="s">
        <v>79</v>
      </c>
      <c r="B25" s="8">
        <v>11</v>
      </c>
      <c r="C25" s="79">
        <f>[1]ОДДС_К!C26</f>
        <v>-964814.98165000009</v>
      </c>
      <c r="D25" s="79">
        <f>[1]ОДДС_К!D26</f>
        <v>-751610.63195999991</v>
      </c>
    </row>
    <row r="26" spans="1:4">
      <c r="A26" s="7" t="s">
        <v>80</v>
      </c>
      <c r="B26" s="8">
        <v>13</v>
      </c>
      <c r="C26" s="79">
        <f>[1]ОДДС_К!C27</f>
        <v>-9068.3536500000009</v>
      </c>
      <c r="D26" s="79">
        <f>[1]ОДДС_К!D27</f>
        <v>-14961.082380000002</v>
      </c>
    </row>
    <row r="27" spans="1:4" ht="14.4" customHeight="1">
      <c r="A27" s="7" t="s">
        <v>81</v>
      </c>
      <c r="B27" s="8">
        <v>17</v>
      </c>
      <c r="C27" s="47">
        <f>[1]ОДДС_К!C28</f>
        <v>-4747.5</v>
      </c>
      <c r="D27" s="79">
        <f>[1]ОДДС_К!D28</f>
        <v>-4200.3126199999997</v>
      </c>
    </row>
    <row r="28" spans="1:4" ht="15" thickBot="1">
      <c r="A28" s="7" t="s">
        <v>82</v>
      </c>
      <c r="B28" s="8">
        <v>19</v>
      </c>
      <c r="C28" s="49" t="str">
        <f>[1]ОДДС_К!C29</f>
        <v>-</v>
      </c>
      <c r="D28" s="49">
        <f>[1]ОДДС_К!D29</f>
        <v>-5110.3999999999996</v>
      </c>
    </row>
    <row r="29" spans="1:4" ht="24.6" thickBot="1">
      <c r="A29" s="107" t="s">
        <v>83</v>
      </c>
      <c r="B29" s="10"/>
      <c r="C29" s="57">
        <f>[1]ОДДС_К!C30</f>
        <v>-978630.83530000004</v>
      </c>
      <c r="D29" s="57">
        <f>[1]ОДДС_К!D30</f>
        <v>-775882.42695999995</v>
      </c>
    </row>
    <row r="30" spans="1:4">
      <c r="A30" s="107" t="s">
        <v>84</v>
      </c>
      <c r="B30" s="138"/>
      <c r="C30" s="100">
        <f>[1]ОДДС_К!C31</f>
        <v>0</v>
      </c>
      <c r="D30" s="101">
        <f>[1]ОДДС_К!D31</f>
        <v>0</v>
      </c>
    </row>
    <row r="31" spans="1:4">
      <c r="A31" s="7" t="s">
        <v>85</v>
      </c>
      <c r="B31" s="8" t="s">
        <v>47</v>
      </c>
      <c r="C31" s="47" t="str">
        <f>[1]ОДДС_К!C32</f>
        <v>-</v>
      </c>
      <c r="D31" s="47" t="str">
        <f>[1]ОДДС_К!D32</f>
        <v>-</v>
      </c>
    </row>
    <row r="32" spans="1:4">
      <c r="A32" s="7" t="s">
        <v>336</v>
      </c>
      <c r="B32" s="8"/>
      <c r="C32" s="47">
        <f>[1]ОДДС_К!C33</f>
        <v>839812.36525999999</v>
      </c>
      <c r="D32" s="47" t="str">
        <f>[1]ОДДС_К!D33</f>
        <v>-</v>
      </c>
    </row>
    <row r="33" spans="1:5">
      <c r="A33" s="7" t="s">
        <v>337</v>
      </c>
      <c r="B33" s="8"/>
      <c r="C33" s="47">
        <f>[1]ОДДС_К!C34</f>
        <v>-111941.69175</v>
      </c>
      <c r="D33" s="47" t="str">
        <f>[1]ОДДС_К!D34</f>
        <v>-</v>
      </c>
    </row>
    <row r="34" spans="1:5" ht="15" thickBot="1">
      <c r="A34" s="7" t="s">
        <v>86</v>
      </c>
      <c r="B34" s="8" t="s">
        <v>52</v>
      </c>
      <c r="C34" s="49">
        <f>[1]ОДДС_К!C35</f>
        <v>-7560</v>
      </c>
      <c r="D34" s="49">
        <f>[1]ОДДС_К!D35</f>
        <v>-7560</v>
      </c>
    </row>
    <row r="35" spans="1:5" ht="15" thickBot="1">
      <c r="A35" s="107" t="s">
        <v>87</v>
      </c>
      <c r="B35" s="10"/>
      <c r="C35" s="57">
        <f>[1]ОДДС_К!C36</f>
        <v>720310.67350999999</v>
      </c>
      <c r="D35" s="57">
        <f>[1]ОДДС_К!D36</f>
        <v>-7560</v>
      </c>
    </row>
    <row r="36" spans="1:5">
      <c r="A36" s="7" t="s">
        <v>88</v>
      </c>
      <c r="B36" s="138"/>
      <c r="C36" s="47">
        <f>[1]ОДДС_К!C37</f>
        <v>-54405.451080000261</v>
      </c>
      <c r="D36" s="47">
        <f>[1]ОДДС_К!D37</f>
        <v>-243361.14563000019</v>
      </c>
    </row>
    <row r="37" spans="1:5">
      <c r="A37" s="7" t="s">
        <v>89</v>
      </c>
      <c r="B37" s="10"/>
      <c r="C37" s="47">
        <f>[1]ОДДС_К!C38</f>
        <v>-80388.983710000015</v>
      </c>
      <c r="D37" s="47">
        <f>[1]ОДДС_К!D38</f>
        <v>-72427.887680000014</v>
      </c>
    </row>
    <row r="38" spans="1:5" ht="15" thickBot="1">
      <c r="A38" s="7" t="s">
        <v>90</v>
      </c>
      <c r="B38" s="10"/>
      <c r="C38" s="49">
        <f>[1]ОДДС_К!C39</f>
        <v>530058.32287999999</v>
      </c>
      <c r="D38" s="49">
        <f>[1]ОДДС_К!D39</f>
        <v>1310838.6000000001</v>
      </c>
    </row>
    <row r="39" spans="1:5" ht="15" thickBot="1">
      <c r="A39" s="107" t="s">
        <v>91</v>
      </c>
      <c r="B39" s="8"/>
      <c r="C39" s="59">
        <f>[1]ОДДС_К!C40</f>
        <v>395263.88808999973</v>
      </c>
      <c r="D39" s="59">
        <f>[1]ОДДС_К!D40</f>
        <v>995049.56668999989</v>
      </c>
    </row>
    <row r="40" spans="1:5" ht="15" hidden="1" thickTop="1">
      <c r="A40" s="140"/>
      <c r="B40" s="141"/>
      <c r="C40" s="142">
        <f>[1]ОДДС_К!C41</f>
        <v>0</v>
      </c>
      <c r="D40" s="143">
        <f>[1]ОДДС_К!D41</f>
        <v>0</v>
      </c>
    </row>
    <row r="41" spans="1:5" hidden="1">
      <c r="C41" s="35">
        <f>[1]ОДДС_К!C42</f>
        <v>0</v>
      </c>
      <c r="D41" s="46">
        <f>[1]ОДДС_К!D42</f>
        <v>0</v>
      </c>
    </row>
    <row r="42" spans="1:5" hidden="1">
      <c r="A42" s="27"/>
      <c r="C42">
        <f>[1]ОДДС_К!C43</f>
        <v>0</v>
      </c>
      <c r="D42">
        <f>[1]ОДДС_К!D43</f>
        <v>0</v>
      </c>
    </row>
    <row r="43" spans="1:5" ht="34.200000000000003" customHeight="1" thickTop="1">
      <c r="A43" s="26" t="s">
        <v>92</v>
      </c>
      <c r="B43" s="16"/>
      <c r="C43" s="16"/>
      <c r="D43" s="4"/>
    </row>
    <row r="44" spans="1:5" ht="29.4" customHeight="1" thickBot="1">
      <c r="A44" s="2" t="s">
        <v>63</v>
      </c>
      <c r="B44" s="4" t="s">
        <v>1</v>
      </c>
      <c r="C44" s="36" t="s">
        <v>386</v>
      </c>
      <c r="D44" s="44" t="s">
        <v>387</v>
      </c>
    </row>
    <row r="45" spans="1:5">
      <c r="A45" s="7" t="s">
        <v>372</v>
      </c>
      <c r="B45" s="8"/>
      <c r="C45" s="19" t="str">
        <f>[1]ОДДС_К!C47</f>
        <v>-</v>
      </c>
      <c r="D45" s="19" t="str">
        <f>[1]ОДДС_К!D47</f>
        <v>-</v>
      </c>
      <c r="E45" s="24"/>
    </row>
    <row r="46" spans="1:5">
      <c r="A46" s="7" t="s">
        <v>373</v>
      </c>
      <c r="B46" s="8"/>
      <c r="C46" s="19" t="str">
        <f>[1]ОДДС_К!C48</f>
        <v>-</v>
      </c>
      <c r="D46" s="19" t="str">
        <f>[1]ОДДС_К!D48</f>
        <v>-</v>
      </c>
    </row>
    <row r="47" spans="1:5">
      <c r="A47" s="7" t="s">
        <v>95</v>
      </c>
      <c r="B47" s="8">
        <v>19</v>
      </c>
      <c r="C47" s="19" t="str">
        <f>[1]ОДДС_К!C49</f>
        <v>-</v>
      </c>
      <c r="D47" s="19" t="str">
        <f>[1]ОДДС_К!D49</f>
        <v>-</v>
      </c>
    </row>
    <row r="48" spans="1:5">
      <c r="A48" s="7" t="s">
        <v>96</v>
      </c>
      <c r="B48" s="8">
        <v>20</v>
      </c>
      <c r="C48" s="19" t="str">
        <f>[1]ОДДС_К!C50</f>
        <v>-</v>
      </c>
      <c r="D48" s="19" t="str">
        <f>[1]ОДДС_К!D50</f>
        <v>-</v>
      </c>
    </row>
    <row r="49" spans="1:4" ht="15" thickBot="1">
      <c r="A49" s="7" t="s">
        <v>97</v>
      </c>
      <c r="B49" s="10"/>
      <c r="C49" s="98">
        <f>[1]ОДДС_К!C51</f>
        <v>589.29985999999997</v>
      </c>
      <c r="D49" s="20">
        <f>[1]ОДДС_К!D51</f>
        <v>1567</v>
      </c>
    </row>
    <row r="53" spans="1:4">
      <c r="A53" s="12" t="s">
        <v>368</v>
      </c>
    </row>
    <row r="54" spans="1:4" hidden="1"/>
    <row r="55" spans="1:4" hidden="1"/>
    <row r="56" spans="1:4" hidden="1"/>
    <row r="57" spans="1:4" ht="10.95" customHeight="1">
      <c r="A57" s="12"/>
    </row>
    <row r="58" spans="1:4" ht="24" customHeight="1">
      <c r="A58" s="12" t="s">
        <v>22</v>
      </c>
    </row>
    <row r="59" spans="1:4" ht="7.2" customHeight="1">
      <c r="A59" s="14" t="s">
        <v>23</v>
      </c>
    </row>
    <row r="60" spans="1:4">
      <c r="A60" s="15" t="s">
        <v>24</v>
      </c>
      <c r="B60" s="15" t="s">
        <v>360</v>
      </c>
    </row>
    <row r="61" spans="1:4" ht="14.4" hidden="1" customHeight="1">
      <c r="A61" s="12"/>
      <c r="C61" s="126"/>
    </row>
    <row r="62" spans="1:4" ht="14.4" hidden="1" customHeight="1">
      <c r="A62" s="12" t="s">
        <v>26</v>
      </c>
      <c r="B62" s="127" t="s">
        <v>359</v>
      </c>
    </row>
    <row r="63" spans="1:4" ht="15.6" hidden="1" customHeight="1">
      <c r="A63" s="12"/>
      <c r="C63" s="126"/>
    </row>
    <row r="64" spans="1:4" ht="14.4" hidden="1" customHeight="1">
      <c r="A64" s="12" t="s">
        <v>361</v>
      </c>
    </row>
    <row r="65" spans="1:4" ht="30.6" hidden="1" customHeight="1"/>
    <row r="66" spans="1:4" hidden="1">
      <c r="A66" s="80"/>
      <c r="B66" s="80"/>
      <c r="C66" s="80"/>
      <c r="D66" s="80"/>
    </row>
    <row r="67" spans="1:4" hidden="1">
      <c r="A67" s="80"/>
      <c r="B67" s="80"/>
      <c r="C67" s="80"/>
      <c r="D67" s="80"/>
    </row>
    <row r="68" spans="1:4" hidden="1">
      <c r="A68" s="81" t="s">
        <v>256</v>
      </c>
      <c r="B68" s="81" t="s">
        <v>257</v>
      </c>
      <c r="C68" s="80"/>
      <c r="D68" s="80"/>
    </row>
    <row r="69" spans="1:4" hidden="1">
      <c r="A69" s="80"/>
      <c r="B69" s="80"/>
      <c r="C69" s="80"/>
      <c r="D69" s="80"/>
    </row>
    <row r="70" spans="1:4" ht="26.4" hidden="1" customHeight="1">
      <c r="A70" s="82" t="s">
        <v>258</v>
      </c>
      <c r="B70" s="82" t="s">
        <v>262</v>
      </c>
      <c r="C70" s="82" t="s">
        <v>259</v>
      </c>
      <c r="D70" s="82" t="s">
        <v>260</v>
      </c>
    </row>
    <row r="71" spans="1:4" ht="20.399999999999999" hidden="1">
      <c r="A71" s="83" t="s">
        <v>261</v>
      </c>
      <c r="B71" s="83" t="s">
        <v>263</v>
      </c>
      <c r="C71" s="84">
        <v>1389086579.05</v>
      </c>
      <c r="D71" s="85"/>
    </row>
    <row r="72" spans="1:4" hidden="1">
      <c r="A72" s="86"/>
      <c r="B72" s="87" t="s">
        <v>264</v>
      </c>
      <c r="C72" s="88">
        <v>39795738181.750008</v>
      </c>
      <c r="D72" s="88">
        <v>35577518311.849998</v>
      </c>
    </row>
    <row r="73" spans="1:4" hidden="1">
      <c r="A73" s="86"/>
      <c r="B73" s="89" t="s">
        <v>265</v>
      </c>
      <c r="C73" s="88">
        <v>34570921643.980003</v>
      </c>
      <c r="D73" s="88">
        <v>34570921643.980003</v>
      </c>
    </row>
    <row r="74" spans="1:4" hidden="1">
      <c r="A74" s="86"/>
      <c r="B74" s="90" t="s">
        <v>266</v>
      </c>
      <c r="C74" s="88">
        <v>17231429428.959999</v>
      </c>
      <c r="D74" s="88">
        <v>17338892215.02</v>
      </c>
    </row>
    <row r="75" spans="1:4" ht="20.399999999999999" hidden="1" customHeight="1">
      <c r="A75" s="86"/>
      <c r="B75" s="91" t="s">
        <v>286</v>
      </c>
      <c r="C75" s="88">
        <v>12441267354.359999</v>
      </c>
      <c r="D75" s="88">
        <v>12441267354.359999</v>
      </c>
    </row>
    <row r="76" spans="1:4" ht="20.399999999999999" hidden="1" customHeight="1">
      <c r="A76" s="86"/>
      <c r="B76" s="91" t="s">
        <v>267</v>
      </c>
      <c r="C76" s="88">
        <v>4790162074.5999994</v>
      </c>
      <c r="D76" s="88">
        <v>4897624860.6599998</v>
      </c>
    </row>
    <row r="77" spans="1:4" hidden="1">
      <c r="A77" s="86"/>
      <c r="B77" s="90" t="s">
        <v>287</v>
      </c>
      <c r="C77" s="88">
        <v>10997634724.24</v>
      </c>
      <c r="D77" s="88">
        <v>11131431038.660002</v>
      </c>
    </row>
    <row r="78" spans="1:4" hidden="1">
      <c r="A78" s="86"/>
      <c r="B78" s="90" t="s">
        <v>288</v>
      </c>
      <c r="C78" s="88">
        <v>6341857490.7800007</v>
      </c>
      <c r="D78" s="88">
        <v>6100598390.3000002</v>
      </c>
    </row>
    <row r="79" spans="1:4" hidden="1">
      <c r="A79" s="86"/>
      <c r="B79" s="89" t="s">
        <v>268</v>
      </c>
      <c r="C79" s="88">
        <v>4880151239.04</v>
      </c>
      <c r="D79" s="88">
        <v>5080912</v>
      </c>
    </row>
    <row r="80" spans="1:4" hidden="1">
      <c r="A80" s="86"/>
      <c r="B80" s="90" t="s">
        <v>269</v>
      </c>
      <c r="C80" s="88">
        <v>4869792814.4699993</v>
      </c>
      <c r="D80" s="92"/>
    </row>
    <row r="81" spans="1:4" hidden="1">
      <c r="A81" s="86"/>
      <c r="B81" s="90" t="s">
        <v>275</v>
      </c>
      <c r="C81" s="88">
        <v>86756</v>
      </c>
      <c r="D81" s="88">
        <v>5080912</v>
      </c>
    </row>
    <row r="82" spans="1:4" ht="20.399999999999999" hidden="1" customHeight="1">
      <c r="A82" s="86"/>
      <c r="B82" s="91" t="s">
        <v>289</v>
      </c>
      <c r="C82" s="88">
        <v>86756</v>
      </c>
      <c r="D82" s="88">
        <v>5080912</v>
      </c>
    </row>
    <row r="83" spans="1:4" hidden="1">
      <c r="A83" s="86"/>
      <c r="B83" s="90" t="s">
        <v>270</v>
      </c>
      <c r="C83" s="88">
        <v>10271668.57</v>
      </c>
      <c r="D83" s="92"/>
    </row>
    <row r="84" spans="1:4" ht="20.399999999999999" hidden="1" customHeight="1">
      <c r="A84" s="86"/>
      <c r="B84" s="91" t="s">
        <v>271</v>
      </c>
      <c r="C84" s="88">
        <v>10271668.57</v>
      </c>
      <c r="D84" s="92"/>
    </row>
    <row r="85" spans="1:4" hidden="1">
      <c r="A85" s="86"/>
      <c r="B85" s="89" t="s">
        <v>290</v>
      </c>
      <c r="C85" s="88">
        <v>342738498</v>
      </c>
      <c r="D85" s="88">
        <v>34309082</v>
      </c>
    </row>
    <row r="86" spans="1:4" hidden="1">
      <c r="A86" s="86"/>
      <c r="B86" s="90" t="s">
        <v>291</v>
      </c>
      <c r="C86" s="88">
        <v>342738498</v>
      </c>
      <c r="D86" s="88">
        <v>34309082</v>
      </c>
    </row>
    <row r="87" spans="1:4" ht="20.399999999999999" hidden="1" customHeight="1">
      <c r="A87" s="86"/>
      <c r="B87" s="91" t="s">
        <v>292</v>
      </c>
      <c r="C87" s="88">
        <v>342738498</v>
      </c>
      <c r="D87" s="88">
        <v>34309082</v>
      </c>
    </row>
    <row r="88" spans="1:4" hidden="1">
      <c r="A88" s="86"/>
      <c r="B88" s="89" t="s">
        <v>293</v>
      </c>
      <c r="C88" s="88">
        <v>1926800.73</v>
      </c>
      <c r="D88" s="88">
        <v>967206673.87</v>
      </c>
    </row>
    <row r="89" spans="1:4" hidden="1">
      <c r="A89" s="86"/>
      <c r="B89" s="90" t="s">
        <v>294</v>
      </c>
      <c r="C89" s="88">
        <v>1926800.73</v>
      </c>
      <c r="D89" s="88">
        <v>967206673.87</v>
      </c>
    </row>
    <row r="90" spans="1:4" hidden="1">
      <c r="A90" s="86"/>
      <c r="B90" s="87" t="s">
        <v>276</v>
      </c>
      <c r="C90" s="88">
        <v>904503390.05999994</v>
      </c>
      <c r="D90" s="88">
        <v>5258621620.5799999</v>
      </c>
    </row>
    <row r="91" spans="1:4" hidden="1">
      <c r="A91" s="86"/>
      <c r="B91" s="89" t="s">
        <v>295</v>
      </c>
      <c r="C91" s="92"/>
      <c r="D91" s="88">
        <v>1517551883.5</v>
      </c>
    </row>
    <row r="92" spans="1:4" hidden="1">
      <c r="A92" s="86"/>
      <c r="B92" s="90" t="s">
        <v>296</v>
      </c>
      <c r="C92" s="92"/>
      <c r="D92" s="88">
        <v>1091737020.5</v>
      </c>
    </row>
    <row r="93" spans="1:4" hidden="1">
      <c r="A93" s="86"/>
      <c r="B93" s="91" t="s">
        <v>297</v>
      </c>
      <c r="C93" s="92"/>
      <c r="D93" s="88">
        <v>1090125000</v>
      </c>
    </row>
    <row r="94" spans="1:4" hidden="1">
      <c r="A94" s="86"/>
      <c r="B94" s="91" t="s">
        <v>298</v>
      </c>
      <c r="C94" s="92"/>
      <c r="D94" s="88">
        <v>1612020.5</v>
      </c>
    </row>
    <row r="95" spans="1:4" hidden="1">
      <c r="A95" s="86"/>
      <c r="B95" s="90" t="s">
        <v>299</v>
      </c>
      <c r="C95" s="92"/>
      <c r="D95" s="88">
        <v>35166490</v>
      </c>
    </row>
    <row r="96" spans="1:4" hidden="1">
      <c r="A96" s="86"/>
      <c r="B96" s="90" t="s">
        <v>300</v>
      </c>
      <c r="C96" s="92"/>
      <c r="D96" s="88">
        <v>81715554</v>
      </c>
    </row>
    <row r="97" spans="1:4" hidden="1">
      <c r="A97" s="86"/>
      <c r="B97" s="91" t="s">
        <v>301</v>
      </c>
      <c r="C97" s="92"/>
      <c r="D97" s="88">
        <v>81715554</v>
      </c>
    </row>
    <row r="98" spans="1:4" ht="20.399999999999999" hidden="1">
      <c r="A98" s="86"/>
      <c r="B98" s="93" t="s">
        <v>302</v>
      </c>
      <c r="C98" s="92"/>
      <c r="D98" s="88">
        <v>474304</v>
      </c>
    </row>
    <row r="99" spans="1:4" ht="20.399999999999999" hidden="1">
      <c r="A99" s="86"/>
      <c r="B99" s="93" t="s">
        <v>303</v>
      </c>
      <c r="C99" s="92"/>
      <c r="D99" s="88">
        <v>77757086</v>
      </c>
    </row>
    <row r="100" spans="1:4" ht="20.399999999999999" hidden="1">
      <c r="A100" s="86"/>
      <c r="B100" s="93" t="s">
        <v>304</v>
      </c>
      <c r="C100" s="92"/>
      <c r="D100" s="88">
        <v>3484164</v>
      </c>
    </row>
    <row r="101" spans="1:4" hidden="1">
      <c r="A101" s="86"/>
      <c r="B101" s="90" t="s">
        <v>305</v>
      </c>
      <c r="C101" s="92"/>
      <c r="D101" s="88">
        <v>27112010</v>
      </c>
    </row>
    <row r="102" spans="1:4" hidden="1">
      <c r="A102" s="86"/>
      <c r="B102" s="90" t="s">
        <v>306</v>
      </c>
      <c r="C102" s="92"/>
      <c r="D102" s="88">
        <v>5312</v>
      </c>
    </row>
    <row r="103" spans="1:4" hidden="1">
      <c r="A103" s="86"/>
      <c r="B103" s="90" t="s">
        <v>307</v>
      </c>
      <c r="C103" s="92"/>
      <c r="D103" s="88">
        <v>3646</v>
      </c>
    </row>
    <row r="104" spans="1:4" hidden="1">
      <c r="A104" s="86"/>
      <c r="B104" s="90" t="s">
        <v>308</v>
      </c>
      <c r="C104" s="92"/>
      <c r="D104" s="88">
        <v>1659190</v>
      </c>
    </row>
    <row r="105" spans="1:4" hidden="1">
      <c r="A105" s="86"/>
      <c r="B105" s="90" t="s">
        <v>309</v>
      </c>
      <c r="C105" s="92"/>
      <c r="D105" s="88">
        <v>280152661</v>
      </c>
    </row>
    <row r="106" spans="1:4" hidden="1">
      <c r="A106" s="86"/>
      <c r="B106" s="89" t="s">
        <v>310</v>
      </c>
      <c r="C106" s="88">
        <v>290084</v>
      </c>
      <c r="D106" s="88">
        <v>86143816</v>
      </c>
    </row>
    <row r="107" spans="1:4" hidden="1">
      <c r="A107" s="86"/>
      <c r="B107" s="90" t="s">
        <v>311</v>
      </c>
      <c r="C107" s="88">
        <v>95020</v>
      </c>
      <c r="D107" s="88">
        <v>31734049</v>
      </c>
    </row>
    <row r="108" spans="1:4" hidden="1">
      <c r="A108" s="86"/>
      <c r="B108" s="91" t="s">
        <v>312</v>
      </c>
      <c r="C108" s="88">
        <v>38881</v>
      </c>
      <c r="D108" s="88">
        <v>12155233</v>
      </c>
    </row>
    <row r="109" spans="1:4" hidden="1">
      <c r="A109" s="86"/>
      <c r="B109" s="91" t="s">
        <v>313</v>
      </c>
      <c r="C109" s="88">
        <v>26576</v>
      </c>
      <c r="D109" s="88">
        <v>8116153</v>
      </c>
    </row>
    <row r="110" spans="1:4" hidden="1">
      <c r="A110" s="86"/>
      <c r="B110" s="91" t="s">
        <v>314</v>
      </c>
      <c r="C110" s="88">
        <v>29563</v>
      </c>
      <c r="D110" s="88">
        <v>11462663</v>
      </c>
    </row>
    <row r="111" spans="1:4" hidden="1">
      <c r="A111" s="86"/>
      <c r="B111" s="90" t="s">
        <v>315</v>
      </c>
      <c r="C111" s="88">
        <v>195064</v>
      </c>
      <c r="D111" s="88">
        <v>54051932</v>
      </c>
    </row>
    <row r="112" spans="1:4" hidden="1">
      <c r="A112" s="86"/>
      <c r="B112" s="91" t="s">
        <v>316</v>
      </c>
      <c r="C112" s="88">
        <v>139896</v>
      </c>
      <c r="D112" s="88">
        <v>46300907</v>
      </c>
    </row>
    <row r="113" spans="1:6" hidden="1">
      <c r="A113" s="86"/>
      <c r="B113" s="91" t="s">
        <v>317</v>
      </c>
      <c r="C113" s="88">
        <v>55168</v>
      </c>
      <c r="D113" s="88">
        <v>7751025</v>
      </c>
    </row>
    <row r="114" spans="1:6" hidden="1">
      <c r="A114" s="86"/>
      <c r="B114" s="90" t="s">
        <v>318</v>
      </c>
      <c r="C114" s="92"/>
      <c r="D114" s="88">
        <v>357835</v>
      </c>
    </row>
    <row r="115" spans="1:6" hidden="1">
      <c r="A115" s="86"/>
      <c r="B115" s="89" t="s">
        <v>277</v>
      </c>
      <c r="C115" s="88">
        <v>29549752.16</v>
      </c>
      <c r="D115" s="88">
        <v>3630061014.4000001</v>
      </c>
    </row>
    <row r="116" spans="1:6" hidden="1">
      <c r="A116" s="86"/>
      <c r="B116" s="90" t="s">
        <v>278</v>
      </c>
      <c r="C116" s="88">
        <v>26837192.399999999</v>
      </c>
      <c r="D116" s="88">
        <v>3254312279.3699999</v>
      </c>
    </row>
    <row r="117" spans="1:6" hidden="1">
      <c r="A117" s="86"/>
      <c r="B117" s="90" t="s">
        <v>319</v>
      </c>
      <c r="C117" s="88">
        <v>2582369.7599999998</v>
      </c>
      <c r="D117" s="88">
        <v>367115752.76999998</v>
      </c>
    </row>
    <row r="118" spans="1:6" hidden="1">
      <c r="A118" s="86"/>
      <c r="B118" s="90" t="s">
        <v>279</v>
      </c>
      <c r="C118" s="88">
        <v>130190</v>
      </c>
      <c r="D118" s="88">
        <v>8632982.2599999998</v>
      </c>
    </row>
    <row r="119" spans="1:6" hidden="1">
      <c r="A119" s="86"/>
      <c r="B119" s="91" t="s">
        <v>320</v>
      </c>
      <c r="C119" s="92"/>
      <c r="D119" s="88">
        <v>4806209.26</v>
      </c>
    </row>
    <row r="120" spans="1:6" hidden="1">
      <c r="A120" s="86"/>
      <c r="B120" s="91" t="s">
        <v>280</v>
      </c>
      <c r="C120" s="88">
        <v>130190</v>
      </c>
      <c r="D120" s="88">
        <v>3826773</v>
      </c>
    </row>
    <row r="121" spans="1:6" ht="20.399999999999999" hidden="1">
      <c r="A121" s="86"/>
      <c r="B121" s="93" t="s">
        <v>281</v>
      </c>
      <c r="C121" s="88">
        <v>130190</v>
      </c>
      <c r="D121" s="88">
        <v>3826773</v>
      </c>
    </row>
    <row r="122" spans="1:6" hidden="1">
      <c r="A122" s="86"/>
      <c r="B122" s="89" t="s">
        <v>321</v>
      </c>
      <c r="C122" s="88">
        <v>874663553.89999998</v>
      </c>
      <c r="D122" s="88">
        <v>24864906.68</v>
      </c>
    </row>
    <row r="123" spans="1:6" hidden="1">
      <c r="A123" s="86"/>
      <c r="B123" s="90" t="s">
        <v>322</v>
      </c>
      <c r="C123" s="88">
        <v>874663553.89999998</v>
      </c>
      <c r="D123" s="88">
        <v>24864906.68</v>
      </c>
    </row>
    <row r="124" spans="1:6" hidden="1">
      <c r="A124" s="86"/>
      <c r="B124" s="87" t="s">
        <v>323</v>
      </c>
      <c r="C124" s="88">
        <v>475874381.24000001</v>
      </c>
      <c r="D124" s="92"/>
    </row>
    <row r="125" spans="1:6" hidden="1">
      <c r="A125" s="86"/>
      <c r="B125" s="89" t="s">
        <v>324</v>
      </c>
      <c r="C125" s="88">
        <v>475874381.24000001</v>
      </c>
      <c r="D125" s="92"/>
    </row>
    <row r="126" spans="1:6" hidden="1">
      <c r="A126" s="86"/>
      <c r="B126" s="90" t="s">
        <v>325</v>
      </c>
      <c r="C126" s="88">
        <v>433931634.24000001</v>
      </c>
      <c r="D126" s="92"/>
      <c r="F126" s="30"/>
    </row>
    <row r="127" spans="1:6" hidden="1">
      <c r="A127" s="86"/>
      <c r="B127" s="90" t="s">
        <v>326</v>
      </c>
      <c r="C127" s="88">
        <v>41942747</v>
      </c>
      <c r="D127" s="92"/>
    </row>
    <row r="128" spans="1:6" hidden="1">
      <c r="A128" s="86"/>
      <c r="B128" s="87" t="s">
        <v>327</v>
      </c>
      <c r="C128" s="92"/>
      <c r="D128" s="88">
        <v>655765054.98000002</v>
      </c>
    </row>
    <row r="129" spans="1:7" hidden="1">
      <c r="A129" s="86"/>
      <c r="B129" s="89" t="s">
        <v>328</v>
      </c>
      <c r="C129" s="92"/>
      <c r="D129" s="88">
        <v>655765054.98000002</v>
      </c>
    </row>
    <row r="130" spans="1:7" hidden="1">
      <c r="A130" s="86"/>
      <c r="B130" s="90" t="s">
        <v>329</v>
      </c>
      <c r="C130" s="92"/>
      <c r="D130" s="88">
        <v>506359521.92000002</v>
      </c>
      <c r="F130" s="30">
        <f>(D130-C126)/1000</f>
        <v>72427.887680000014</v>
      </c>
      <c r="G130" t="s">
        <v>331</v>
      </c>
    </row>
    <row r="131" spans="1:7" hidden="1">
      <c r="A131" s="86"/>
      <c r="B131" s="90" t="s">
        <v>330</v>
      </c>
      <c r="C131" s="92"/>
      <c r="D131" s="88">
        <v>149405533.06</v>
      </c>
    </row>
    <row r="132" spans="1:7" hidden="1">
      <c r="A132" s="94"/>
      <c r="B132" s="95" t="s">
        <v>272</v>
      </c>
      <c r="C132" s="96">
        <v>41176115953.050003</v>
      </c>
      <c r="D132" s="96">
        <v>41491904987.409996</v>
      </c>
    </row>
    <row r="133" spans="1:7" ht="20.399999999999999" hidden="1">
      <c r="A133" s="94"/>
      <c r="B133" s="95" t="s">
        <v>273</v>
      </c>
      <c r="C133" s="96">
        <v>1073297544.6900001</v>
      </c>
      <c r="D133" s="97"/>
    </row>
    <row r="134" spans="1:7" hidden="1"/>
    <row r="135" spans="1:7" hidden="1"/>
    <row r="136" spans="1:7" ht="17.399999999999999" customHeight="1">
      <c r="A136" s="12" t="s">
        <v>26</v>
      </c>
      <c r="B136" s="127" t="s">
        <v>359</v>
      </c>
    </row>
    <row r="137" spans="1:7" ht="1.95" customHeight="1">
      <c r="A137" s="12"/>
      <c r="C137" s="126"/>
    </row>
    <row r="138" spans="1:7">
      <c r="A138" s="12" t="s">
        <v>390</v>
      </c>
    </row>
  </sheetData>
  <mergeCells count="1">
    <mergeCell ref="A1:D1"/>
  </mergeCells>
  <pageMargins left="0.70866141732283472" right="0.31496062992125984" top="0.74803149606299213" bottom="0.55118110236220474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24DF-F17A-4958-AD92-0813B78D813D}">
  <sheetPr>
    <pageSetUpPr fitToPage="1"/>
  </sheetPr>
  <dimension ref="A1:AB99"/>
  <sheetViews>
    <sheetView topLeftCell="A4" zoomScaleNormal="100" workbookViewId="0">
      <selection activeCell="A10" sqref="A10:D10"/>
    </sheetView>
  </sheetViews>
  <sheetFormatPr defaultColWidth="9.109375" defaultRowHeight="14.4"/>
  <cols>
    <col min="1" max="1" width="54.33203125" style="63" customWidth="1"/>
    <col min="2" max="2" width="9.109375" style="63"/>
    <col min="3" max="3" width="15.5546875" style="63" customWidth="1"/>
    <col min="4" max="4" width="18.5546875" style="63" customWidth="1"/>
    <col min="5" max="7" width="0" style="63" hidden="1" customWidth="1"/>
    <col min="8" max="9" width="12.6640625" style="64" hidden="1" customWidth="1"/>
    <col min="10" max="27" width="0" style="63" hidden="1" customWidth="1"/>
    <col min="28" max="28" width="12.6640625" style="63" hidden="1" customWidth="1"/>
    <col min="29" max="16384" width="9.109375" style="63"/>
  </cols>
  <sheetData>
    <row r="1" spans="1:9" s="61" customFormat="1" ht="9.6">
      <c r="A1" s="167" t="s">
        <v>121</v>
      </c>
      <c r="B1" s="167"/>
      <c r="C1" s="167"/>
      <c r="D1" s="167"/>
      <c r="H1" s="62"/>
      <c r="I1" s="62"/>
    </row>
    <row r="2" spans="1:9" s="61" customFormat="1" ht="9.6">
      <c r="A2" s="167" t="s">
        <v>122</v>
      </c>
      <c r="B2" s="167"/>
      <c r="C2" s="167"/>
      <c r="D2" s="167"/>
      <c r="H2" s="62"/>
      <c r="I2" s="62"/>
    </row>
    <row r="3" spans="1:9" s="61" customFormat="1" ht="9.6">
      <c r="A3" s="167" t="s">
        <v>123</v>
      </c>
      <c r="B3" s="167"/>
      <c r="C3" s="167"/>
      <c r="D3" s="167"/>
      <c r="H3" s="62"/>
      <c r="I3" s="62"/>
    </row>
    <row r="4" spans="1:9" s="61" customFormat="1" ht="9.6">
      <c r="A4" s="167" t="s">
        <v>124</v>
      </c>
      <c r="B4" s="167"/>
      <c r="C4" s="167"/>
      <c r="D4" s="167"/>
      <c r="H4" s="62"/>
      <c r="I4" s="62"/>
    </row>
    <row r="5" spans="1:9" ht="15.6">
      <c r="A5" s="168"/>
      <c r="B5" s="168"/>
      <c r="C5" s="168"/>
      <c r="D5" s="168"/>
    </row>
    <row r="6" spans="1:9">
      <c r="A6" s="169" t="s">
        <v>125</v>
      </c>
      <c r="B6" s="169"/>
      <c r="C6" s="169"/>
      <c r="D6" s="169"/>
    </row>
    <row r="7" spans="1:9" ht="15.6">
      <c r="A7" s="168"/>
      <c r="B7" s="168"/>
      <c r="C7" s="168"/>
      <c r="D7" s="168"/>
    </row>
    <row r="8" spans="1:9" s="65" customFormat="1" ht="13.8">
      <c r="A8" s="170" t="s">
        <v>126</v>
      </c>
      <c r="B8" s="170"/>
      <c r="C8" s="170"/>
      <c r="D8" s="170"/>
      <c r="H8" s="66"/>
      <c r="I8" s="66"/>
    </row>
    <row r="9" spans="1:9" s="65" customFormat="1" ht="13.8">
      <c r="A9" s="171" t="s">
        <v>338</v>
      </c>
      <c r="B9" s="171"/>
      <c r="C9" s="171"/>
      <c r="D9" s="171"/>
      <c r="H9" s="66"/>
      <c r="I9" s="66"/>
    </row>
    <row r="10" spans="1:9" s="67" customFormat="1" ht="11.4">
      <c r="A10" s="172"/>
      <c r="B10" s="172"/>
      <c r="C10" s="172"/>
      <c r="D10" s="172"/>
      <c r="H10" s="68"/>
      <c r="I10" s="68"/>
    </row>
    <row r="11" spans="1:9" s="67" customFormat="1" ht="11.4">
      <c r="A11" s="166" t="s">
        <v>127</v>
      </c>
      <c r="B11" s="166"/>
      <c r="C11" s="166"/>
      <c r="D11" s="166"/>
      <c r="H11" s="68"/>
      <c r="I11" s="68"/>
    </row>
    <row r="12" spans="1:9" s="67" customFormat="1" ht="11.4">
      <c r="A12" s="166" t="s">
        <v>128</v>
      </c>
      <c r="B12" s="166"/>
      <c r="C12" s="166"/>
      <c r="D12" s="166"/>
      <c r="H12" s="68"/>
      <c r="I12" s="68"/>
    </row>
    <row r="13" spans="1:9" s="67" customFormat="1" ht="16.5" customHeight="1">
      <c r="A13" s="166" t="s">
        <v>129</v>
      </c>
      <c r="B13" s="166"/>
      <c r="C13" s="166"/>
      <c r="D13" s="166"/>
      <c r="H13" s="68"/>
      <c r="I13" s="68"/>
    </row>
    <row r="14" spans="1:9" s="67" customFormat="1" ht="30.75" customHeight="1">
      <c r="A14" s="166" t="s">
        <v>130</v>
      </c>
      <c r="B14" s="166"/>
      <c r="C14" s="166"/>
      <c r="D14" s="166"/>
      <c r="H14" s="68"/>
      <c r="I14" s="68"/>
    </row>
    <row r="15" spans="1:9" s="67" customFormat="1" ht="15.75" customHeight="1">
      <c r="A15" s="166" t="s">
        <v>131</v>
      </c>
      <c r="B15" s="166"/>
      <c r="C15" s="166"/>
      <c r="D15" s="166"/>
      <c r="H15" s="68"/>
      <c r="I15" s="68"/>
    </row>
    <row r="16" spans="1:9" s="67" customFormat="1" ht="48" customHeight="1">
      <c r="A16" s="166" t="s">
        <v>132</v>
      </c>
      <c r="B16" s="166"/>
      <c r="C16" s="166"/>
      <c r="D16" s="166"/>
      <c r="H16" s="68">
        <v>247136161.63999999</v>
      </c>
      <c r="I16" s="68"/>
    </row>
    <row r="17" spans="1:10" s="67" customFormat="1" ht="11.4" customHeight="1">
      <c r="A17" s="166" t="s">
        <v>252</v>
      </c>
      <c r="B17" s="166"/>
      <c r="C17" s="166"/>
      <c r="D17" s="166"/>
      <c r="H17" s="68"/>
      <c r="I17" s="68"/>
    </row>
    <row r="18" spans="1:10" s="67" customFormat="1" ht="11.4">
      <c r="A18" s="166" t="s">
        <v>332</v>
      </c>
      <c r="B18" s="166"/>
      <c r="C18" s="166"/>
      <c r="D18" s="166"/>
      <c r="H18" s="68">
        <v>1310838601.05</v>
      </c>
      <c r="I18" s="68"/>
    </row>
    <row r="19" spans="1:10" s="67" customFormat="1" ht="11.4">
      <c r="A19" s="174" t="s">
        <v>133</v>
      </c>
      <c r="B19" s="174"/>
      <c r="C19" s="174"/>
      <c r="D19" s="174"/>
      <c r="H19" s="68"/>
      <c r="I19" s="68"/>
    </row>
    <row r="20" spans="1:10" s="67" customFormat="1" ht="22.8">
      <c r="A20" s="69" t="s">
        <v>134</v>
      </c>
      <c r="B20" s="69" t="s">
        <v>135</v>
      </c>
      <c r="C20" s="69" t="s">
        <v>136</v>
      </c>
      <c r="D20" s="69" t="s">
        <v>137</v>
      </c>
      <c r="H20" s="68"/>
      <c r="I20" s="68"/>
    </row>
    <row r="21" spans="1:10" s="67" customFormat="1" ht="11.4">
      <c r="A21" s="175" t="s">
        <v>138</v>
      </c>
      <c r="B21" s="176"/>
      <c r="C21" s="176"/>
      <c r="D21" s="177"/>
      <c r="H21" s="68"/>
      <c r="I21" s="68"/>
    </row>
    <row r="22" spans="1:10" s="67" customFormat="1" ht="12">
      <c r="A22" s="76" t="s">
        <v>139</v>
      </c>
      <c r="B22" s="70" t="s">
        <v>140</v>
      </c>
      <c r="C22" s="77">
        <f>SUM(C24:C29)</f>
        <v>6466901.4877300002</v>
      </c>
      <c r="D22" s="77">
        <f>SUM(D24:D29)</f>
        <v>2747790</v>
      </c>
      <c r="H22" s="68"/>
      <c r="I22" s="68"/>
    </row>
    <row r="23" spans="1:10" s="67" customFormat="1" ht="11.4">
      <c r="A23" s="76" t="s">
        <v>141</v>
      </c>
      <c r="B23" s="72"/>
      <c r="C23" s="71"/>
      <c r="D23" s="71"/>
      <c r="H23" s="68"/>
      <c r="I23" s="68"/>
    </row>
    <row r="24" spans="1:10" s="67" customFormat="1" ht="11.4">
      <c r="A24" s="76" t="s">
        <v>142</v>
      </c>
      <c r="B24" s="70" t="s">
        <v>143</v>
      </c>
      <c r="C24" s="71">
        <f>H29/1000+2833610</f>
        <v>4869793.0490300003</v>
      </c>
      <c r="D24" s="71">
        <v>2444415</v>
      </c>
      <c r="H24" s="68"/>
      <c r="I24" s="68"/>
    </row>
    <row r="25" spans="1:10" s="67" customFormat="1" ht="11.4">
      <c r="A25" s="76" t="s">
        <v>144</v>
      </c>
      <c r="B25" s="70" t="s">
        <v>145</v>
      </c>
      <c r="C25" s="71"/>
      <c r="D25" s="71"/>
      <c r="H25" s="68"/>
      <c r="I25" s="68"/>
    </row>
    <row r="26" spans="1:10" s="67" customFormat="1" ht="11.4">
      <c r="A26" s="76" t="s">
        <v>146</v>
      </c>
      <c r="B26" s="70" t="s">
        <v>147</v>
      </c>
      <c r="C26" s="71">
        <f>H64/1000+350783</f>
        <v>768223.47522999998</v>
      </c>
      <c r="D26" s="71">
        <v>282052</v>
      </c>
      <c r="H26" s="68"/>
      <c r="I26" s="68"/>
    </row>
    <row r="27" spans="1:10" s="67" customFormat="1" ht="11.4">
      <c r="A27" s="76" t="s">
        <v>148</v>
      </c>
      <c r="B27" s="70" t="s">
        <v>149</v>
      </c>
      <c r="C27" s="71"/>
      <c r="D27" s="71"/>
      <c r="H27" s="68"/>
      <c r="I27" s="68">
        <v>0</v>
      </c>
      <c r="J27" s="67">
        <v>67</v>
      </c>
    </row>
    <row r="28" spans="1:10" s="67" customFormat="1" ht="11.4">
      <c r="A28" s="76" t="s">
        <v>150</v>
      </c>
      <c r="B28" s="70" t="s">
        <v>151</v>
      </c>
      <c r="C28" s="71">
        <f>H32/1000+3908</f>
        <v>10271.526740000001</v>
      </c>
      <c r="D28" s="71">
        <v>239</v>
      </c>
      <c r="H28" s="68"/>
      <c r="I28" s="68"/>
    </row>
    <row r="29" spans="1:10" s="67" customFormat="1" ht="11.4">
      <c r="A29" s="76" t="s">
        <v>152</v>
      </c>
      <c r="B29" s="70" t="s">
        <v>153</v>
      </c>
      <c r="C29" s="71">
        <f>H65/1000+191766+342739</f>
        <v>818613.43672999996</v>
      </c>
      <c r="D29" s="71">
        <v>21084</v>
      </c>
      <c r="H29" s="68">
        <v>2036183049.0300002</v>
      </c>
      <c r="I29" s="68"/>
      <c r="J29" s="67">
        <v>11</v>
      </c>
    </row>
    <row r="30" spans="1:10" s="67" customFormat="1" ht="12">
      <c r="A30" s="76" t="s">
        <v>154</v>
      </c>
      <c r="B30" s="70" t="s">
        <v>155</v>
      </c>
      <c r="C30" s="77">
        <f>SUM(C32:C38)</f>
        <v>5926819.7107311999</v>
      </c>
      <c r="D30" s="77">
        <f>SUM(D32:D38)</f>
        <v>2577772</v>
      </c>
      <c r="H30" s="68"/>
      <c r="I30" s="68">
        <v>1695631</v>
      </c>
      <c r="J30" s="67">
        <v>27</v>
      </c>
    </row>
    <row r="31" spans="1:10" s="67" customFormat="1" ht="11.4">
      <c r="A31" s="76" t="s">
        <v>141</v>
      </c>
      <c r="B31" s="72"/>
      <c r="C31" s="71"/>
      <c r="D31" s="71"/>
      <c r="H31" s="68"/>
      <c r="I31" s="68"/>
    </row>
    <row r="32" spans="1:10" s="67" customFormat="1" ht="11.4">
      <c r="A32" s="76" t="s">
        <v>156</v>
      </c>
      <c r="B32" s="70" t="s">
        <v>157</v>
      </c>
      <c r="C32" s="71">
        <f>I61/1000+1580438-407502</f>
        <v>2570301.1596264001</v>
      </c>
      <c r="D32" s="71">
        <f>1612460-41669</f>
        <v>1570791</v>
      </c>
      <c r="H32" s="68">
        <v>6363526.7400000002</v>
      </c>
      <c r="I32" s="68"/>
      <c r="J32" s="67">
        <v>15</v>
      </c>
    </row>
    <row r="33" spans="1:10" s="67" customFormat="1" ht="11.4">
      <c r="A33" s="76" t="s">
        <v>158</v>
      </c>
      <c r="B33" s="70" t="s">
        <v>159</v>
      </c>
      <c r="C33" s="71">
        <f>I34/1000+516840-14961+7674</f>
        <v>774306.7806247999</v>
      </c>
      <c r="D33" s="71">
        <v>213745</v>
      </c>
      <c r="H33" s="68"/>
      <c r="I33" s="68"/>
    </row>
    <row r="34" spans="1:10" s="67" customFormat="1" ht="11.4">
      <c r="A34" s="76" t="s">
        <v>160</v>
      </c>
      <c r="B34" s="70" t="s">
        <v>161</v>
      </c>
      <c r="C34" s="71">
        <f>I62/1000+171302</f>
        <v>366638.90410000004</v>
      </c>
      <c r="D34" s="71">
        <v>320161</v>
      </c>
      <c r="H34" s="68"/>
      <c r="I34" s="68">
        <v>264753780.62479997</v>
      </c>
      <c r="J34" s="67">
        <v>22</v>
      </c>
    </row>
    <row r="35" spans="1:10" s="67" customFormat="1" ht="11.4">
      <c r="A35" s="76" t="s">
        <v>162</v>
      </c>
      <c r="B35" s="70" t="s">
        <v>163</v>
      </c>
      <c r="C35" s="71"/>
      <c r="D35" s="71"/>
      <c r="H35" s="68"/>
      <c r="I35" s="68"/>
      <c r="J35" s="67">
        <v>105</v>
      </c>
    </row>
    <row r="36" spans="1:10" s="67" customFormat="1" ht="11.4">
      <c r="A36" s="76" t="s">
        <v>164</v>
      </c>
      <c r="B36" s="70" t="s">
        <v>165</v>
      </c>
      <c r="C36" s="71"/>
      <c r="D36" s="71"/>
      <c r="H36" s="68"/>
      <c r="I36" s="68"/>
    </row>
    <row r="37" spans="1:10" s="67" customFormat="1" ht="11.4">
      <c r="A37" s="76" t="s">
        <v>166</v>
      </c>
      <c r="B37" s="70" t="s">
        <v>167</v>
      </c>
      <c r="C37" s="71">
        <f>(I40+I51)/1000+1075714</f>
        <v>1637715.0899999999</v>
      </c>
      <c r="D37" s="71">
        <v>419931</v>
      </c>
      <c r="H37" s="68"/>
      <c r="I37" s="68"/>
      <c r="J37" s="67" t="s">
        <v>250</v>
      </c>
    </row>
    <row r="38" spans="1:10" s="67" customFormat="1" ht="11.4">
      <c r="A38" s="76" t="s">
        <v>168</v>
      </c>
      <c r="B38" s="70" t="s">
        <v>169</v>
      </c>
      <c r="C38" s="71">
        <f>(I30+I63+I68)/1000+212012-7560-9310-72428</f>
        <v>577857.77637999994</v>
      </c>
      <c r="D38" s="71">
        <f>53144</f>
        <v>53144</v>
      </c>
      <c r="H38" s="68"/>
      <c r="I38" s="68"/>
    </row>
    <row r="39" spans="1:10" s="67" customFormat="1" ht="22.8">
      <c r="A39" s="76" t="s">
        <v>170</v>
      </c>
      <c r="B39" s="70" t="s">
        <v>171</v>
      </c>
      <c r="C39" s="77">
        <f>C22-C30</f>
        <v>540081.77699880023</v>
      </c>
      <c r="D39" s="77">
        <f>D22-D30</f>
        <v>170018</v>
      </c>
      <c r="H39" s="68"/>
      <c r="I39" s="68"/>
    </row>
    <row r="40" spans="1:10" s="67" customFormat="1" ht="11.4">
      <c r="A40" s="175" t="s">
        <v>172</v>
      </c>
      <c r="B40" s="176"/>
      <c r="C40" s="176"/>
      <c r="D40" s="177"/>
      <c r="H40" s="68"/>
      <c r="I40" s="68">
        <v>517851208</v>
      </c>
      <c r="J40" s="67">
        <v>26</v>
      </c>
    </row>
    <row r="41" spans="1:10" s="67" customFormat="1" ht="11.4">
      <c r="A41" s="76" t="s">
        <v>173</v>
      </c>
      <c r="B41" s="70" t="s">
        <v>174</v>
      </c>
      <c r="C41" s="71">
        <f>SUM(C43:C54)</f>
        <v>0</v>
      </c>
      <c r="D41" s="71">
        <f>SUM(D43:D54)</f>
        <v>0</v>
      </c>
      <c r="H41" s="68"/>
      <c r="I41" s="68"/>
    </row>
    <row r="42" spans="1:10" s="67" customFormat="1" ht="11.4">
      <c r="A42" s="76" t="s">
        <v>141</v>
      </c>
      <c r="B42" s="72"/>
      <c r="C42" s="71"/>
      <c r="D42" s="71"/>
      <c r="H42" s="68"/>
      <c r="I42" s="68"/>
    </row>
    <row r="43" spans="1:10" s="67" customFormat="1" ht="11.4">
      <c r="A43" s="76" t="s">
        <v>175</v>
      </c>
      <c r="B43" s="70" t="s">
        <v>176</v>
      </c>
      <c r="C43" s="71"/>
      <c r="D43" s="71"/>
      <c r="H43" s="68"/>
      <c r="I43" s="68"/>
    </row>
    <row r="44" spans="1:10" s="67" customFormat="1" ht="11.4">
      <c r="A44" s="76" t="s">
        <v>177</v>
      </c>
      <c r="B44" s="70" t="s">
        <v>178</v>
      </c>
      <c r="C44" s="71"/>
      <c r="D44" s="71"/>
      <c r="H44" s="68"/>
      <c r="I44" s="68">
        <v>115953176.0088</v>
      </c>
      <c r="J44" s="67">
        <v>61</v>
      </c>
    </row>
    <row r="45" spans="1:10" s="67" customFormat="1" ht="11.4">
      <c r="A45" s="76" t="s">
        <v>179</v>
      </c>
      <c r="B45" s="70" t="s">
        <v>180</v>
      </c>
      <c r="C45" s="71"/>
      <c r="D45" s="71"/>
      <c r="H45" s="68"/>
      <c r="I45" s="68"/>
      <c r="J45" s="67">
        <v>62</v>
      </c>
    </row>
    <row r="46" spans="1:10" s="67" customFormat="1" ht="22.8">
      <c r="A46" s="76" t="s">
        <v>181</v>
      </c>
      <c r="B46" s="70" t="s">
        <v>182</v>
      </c>
      <c r="C46" s="71"/>
      <c r="D46" s="71"/>
      <c r="H46" s="68"/>
      <c r="I46" s="68"/>
      <c r="J46" s="67">
        <v>63</v>
      </c>
    </row>
    <row r="47" spans="1:10" s="67" customFormat="1" ht="11.4">
      <c r="A47" s="76" t="s">
        <v>183</v>
      </c>
      <c r="B47" s="70" t="s">
        <v>184</v>
      </c>
      <c r="C47" s="71"/>
      <c r="D47" s="71"/>
      <c r="H47" s="68"/>
      <c r="I47" s="68"/>
    </row>
    <row r="48" spans="1:10" s="67" customFormat="1" ht="11.4">
      <c r="A48" s="76" t="s">
        <v>185</v>
      </c>
      <c r="B48" s="70" t="s">
        <v>186</v>
      </c>
      <c r="C48" s="71"/>
      <c r="D48" s="71"/>
      <c r="H48" s="68"/>
      <c r="I48" s="68"/>
    </row>
    <row r="49" spans="1:10" s="67" customFormat="1" ht="11.4">
      <c r="A49" s="76" t="s">
        <v>187</v>
      </c>
      <c r="B49" s="70" t="s">
        <v>188</v>
      </c>
      <c r="C49" s="71"/>
      <c r="D49" s="71"/>
      <c r="H49" s="68"/>
      <c r="I49" s="68"/>
    </row>
    <row r="50" spans="1:10" s="67" customFormat="1" ht="11.4">
      <c r="A50" s="76" t="s">
        <v>189</v>
      </c>
      <c r="B50" s="70" t="s">
        <v>190</v>
      </c>
      <c r="C50" s="71"/>
      <c r="D50" s="71"/>
      <c r="H50" s="68"/>
      <c r="I50" s="68"/>
    </row>
    <row r="51" spans="1:10" s="67" customFormat="1" ht="11.4">
      <c r="A51" s="76" t="s">
        <v>191</v>
      </c>
      <c r="B51" s="70" t="s">
        <v>192</v>
      </c>
      <c r="C51" s="71"/>
      <c r="D51" s="71"/>
      <c r="H51" s="68"/>
      <c r="I51" s="68">
        <v>44149882</v>
      </c>
      <c r="J51" s="67">
        <v>26</v>
      </c>
    </row>
    <row r="52" spans="1:10" s="67" customFormat="1" ht="11.4">
      <c r="A52" s="76" t="s">
        <v>193</v>
      </c>
      <c r="B52" s="70" t="s">
        <v>194</v>
      </c>
      <c r="C52" s="71"/>
      <c r="D52" s="71"/>
      <c r="H52" s="68"/>
      <c r="I52" s="68"/>
    </row>
    <row r="53" spans="1:10" s="67" customFormat="1" ht="11.4">
      <c r="A53" s="76" t="s">
        <v>150</v>
      </c>
      <c r="B53" s="70" t="s">
        <v>195</v>
      </c>
      <c r="C53" s="71"/>
      <c r="D53" s="71"/>
      <c r="H53" s="68"/>
      <c r="I53" s="68"/>
    </row>
    <row r="54" spans="1:10" s="67" customFormat="1" ht="11.4">
      <c r="A54" s="76" t="s">
        <v>152</v>
      </c>
      <c r="B54" s="70" t="s">
        <v>196</v>
      </c>
      <c r="C54" s="71"/>
      <c r="D54" s="71"/>
      <c r="H54" s="68"/>
      <c r="I54" s="68"/>
    </row>
    <row r="55" spans="1:10" s="67" customFormat="1" ht="12">
      <c r="A55" s="76" t="s">
        <v>197</v>
      </c>
      <c r="B55" s="70" t="s">
        <v>198</v>
      </c>
      <c r="C55" s="77">
        <f>SUM(C57:C69)</f>
        <v>775882.17600880004</v>
      </c>
      <c r="D55" s="77">
        <f>SUM(D57:D69)</f>
        <v>310831</v>
      </c>
      <c r="H55" s="68"/>
      <c r="I55" s="68"/>
    </row>
    <row r="56" spans="1:10" s="67" customFormat="1" ht="11.4">
      <c r="A56" s="76" t="s">
        <v>141</v>
      </c>
      <c r="B56" s="72"/>
      <c r="C56" s="71"/>
      <c r="D56" s="71"/>
      <c r="H56" s="68"/>
      <c r="I56" s="68"/>
    </row>
    <row r="57" spans="1:10" s="67" customFormat="1" ht="11.4">
      <c r="A57" s="76" t="s">
        <v>199</v>
      </c>
      <c r="B57" s="70" t="s">
        <v>200</v>
      </c>
      <c r="C57" s="71">
        <f>I44/1000+228156+407502</f>
        <v>751611.17600880004</v>
      </c>
      <c r="D57" s="71">
        <v>271551</v>
      </c>
      <c r="E57" s="67">
        <v>515015.49666</v>
      </c>
      <c r="H57" s="68"/>
      <c r="I57" s="68"/>
    </row>
    <row r="58" spans="1:10" s="67" customFormat="1" ht="11.4">
      <c r="A58" s="76" t="s">
        <v>201</v>
      </c>
      <c r="B58" s="70" t="s">
        <v>202</v>
      </c>
      <c r="C58" s="71">
        <v>14961</v>
      </c>
      <c r="D58" s="71">
        <v>26384</v>
      </c>
      <c r="E58" s="67">
        <v>29550.080000000002</v>
      </c>
      <c r="H58" s="68"/>
      <c r="I58" s="68"/>
    </row>
    <row r="59" spans="1:10" s="67" customFormat="1" ht="11.4">
      <c r="A59" s="76" t="s">
        <v>203</v>
      </c>
      <c r="B59" s="70" t="s">
        <v>204</v>
      </c>
      <c r="C59" s="71"/>
      <c r="D59" s="71"/>
      <c r="E59" s="67">
        <v>12126</v>
      </c>
      <c r="H59" s="68"/>
      <c r="I59" s="68"/>
    </row>
    <row r="60" spans="1:10" s="67" customFormat="1" ht="22.8">
      <c r="A60" s="76" t="s">
        <v>205</v>
      </c>
      <c r="B60" s="70" t="s">
        <v>206</v>
      </c>
      <c r="C60" s="71"/>
      <c r="D60" s="71"/>
      <c r="H60" s="68"/>
      <c r="I60" s="68"/>
    </row>
    <row r="61" spans="1:10" s="67" customFormat="1" ht="11.4">
      <c r="A61" s="76" t="s">
        <v>207</v>
      </c>
      <c r="B61" s="70" t="s">
        <v>208</v>
      </c>
      <c r="C61" s="71"/>
      <c r="D61" s="71"/>
      <c r="H61" s="68"/>
      <c r="I61" s="68">
        <v>1397365159.6263998</v>
      </c>
      <c r="J61" s="67">
        <v>21</v>
      </c>
    </row>
    <row r="62" spans="1:10" s="67" customFormat="1" ht="11.4">
      <c r="A62" s="76" t="s">
        <v>209</v>
      </c>
      <c r="B62" s="70" t="s">
        <v>210</v>
      </c>
      <c r="C62" s="71"/>
      <c r="D62" s="71"/>
      <c r="H62" s="68"/>
      <c r="I62" s="68">
        <v>195336904.10000002</v>
      </c>
      <c r="J62" s="67">
        <v>23</v>
      </c>
    </row>
    <row r="63" spans="1:10" s="67" customFormat="1" ht="11.4">
      <c r="A63" s="76" t="s">
        <v>211</v>
      </c>
      <c r="B63" s="70" t="s">
        <v>212</v>
      </c>
      <c r="C63" s="71">
        <v>4200</v>
      </c>
      <c r="D63" s="71">
        <v>12126</v>
      </c>
      <c r="H63" s="68"/>
      <c r="I63" s="68">
        <v>1375873.15</v>
      </c>
      <c r="J63" s="67">
        <v>27</v>
      </c>
    </row>
    <row r="64" spans="1:10" s="67" customFormat="1" ht="11.4">
      <c r="A64" s="76" t="s">
        <v>162</v>
      </c>
      <c r="B64" s="70" t="s">
        <v>213</v>
      </c>
      <c r="C64" s="71"/>
      <c r="D64" s="71"/>
      <c r="H64" s="68">
        <v>417440475.23000002</v>
      </c>
      <c r="I64" s="68"/>
      <c r="J64" s="67">
        <v>13</v>
      </c>
    </row>
    <row r="65" spans="1:10" s="67" customFormat="1" ht="11.4">
      <c r="A65" s="76" t="s">
        <v>214</v>
      </c>
      <c r="B65" s="70" t="s">
        <v>215</v>
      </c>
      <c r="C65" s="71"/>
      <c r="D65" s="71"/>
      <c r="H65" s="68">
        <v>284108436.73000002</v>
      </c>
      <c r="I65" s="68"/>
      <c r="J65" s="67">
        <v>16</v>
      </c>
    </row>
    <row r="66" spans="1:10" s="67" customFormat="1" ht="11.4">
      <c r="A66" s="76" t="s">
        <v>216</v>
      </c>
      <c r="B66" s="70" t="s">
        <v>217</v>
      </c>
      <c r="C66" s="71"/>
      <c r="D66" s="71"/>
      <c r="H66" s="68"/>
      <c r="I66" s="68"/>
    </row>
    <row r="67" spans="1:10" s="67" customFormat="1" ht="11.4">
      <c r="A67" s="76" t="s">
        <v>191</v>
      </c>
      <c r="B67" s="70" t="s">
        <v>218</v>
      </c>
      <c r="C67" s="71"/>
      <c r="D67" s="71"/>
      <c r="H67" s="68"/>
      <c r="I67" s="68"/>
    </row>
    <row r="68" spans="1:10" s="67" customFormat="1" ht="11.4">
      <c r="A68" s="76" t="s">
        <v>219</v>
      </c>
      <c r="B68" s="70" t="s">
        <v>220</v>
      </c>
      <c r="C68" s="71"/>
      <c r="D68" s="71"/>
      <c r="H68" s="68"/>
      <c r="I68" s="68">
        <v>452072272.23000002</v>
      </c>
      <c r="J68" s="67">
        <v>27</v>
      </c>
    </row>
    <row r="69" spans="1:10" s="67" customFormat="1" ht="11.4">
      <c r="A69" s="76" t="s">
        <v>168</v>
      </c>
      <c r="B69" s="70" t="s">
        <v>221</v>
      </c>
      <c r="C69" s="71">
        <v>5110</v>
      </c>
      <c r="D69" s="71">
        <v>770</v>
      </c>
      <c r="H69" s="68"/>
      <c r="I69" s="68"/>
    </row>
    <row r="70" spans="1:10" s="67" customFormat="1" ht="22.8">
      <c r="A70" s="76" t="s">
        <v>222</v>
      </c>
      <c r="B70" s="70" t="s">
        <v>223</v>
      </c>
      <c r="C70" s="77">
        <f>C41-C55</f>
        <v>-775882.17600880004</v>
      </c>
      <c r="D70" s="77">
        <f>D41-D55</f>
        <v>-310831</v>
      </c>
      <c r="H70" s="68"/>
      <c r="I70" s="68"/>
    </row>
    <row r="71" spans="1:10" s="67" customFormat="1" ht="11.4">
      <c r="A71" s="175" t="s">
        <v>224</v>
      </c>
      <c r="B71" s="176"/>
      <c r="C71" s="176"/>
      <c r="D71" s="177"/>
      <c r="H71" s="68"/>
      <c r="I71" s="68"/>
    </row>
    <row r="72" spans="1:10" s="67" customFormat="1" ht="11.4">
      <c r="A72" s="76" t="s">
        <v>225</v>
      </c>
      <c r="B72" s="70" t="s">
        <v>226</v>
      </c>
      <c r="C72" s="71">
        <f>SUM(C74:C77)</f>
        <v>0</v>
      </c>
      <c r="D72" s="71">
        <f>SUM(D74:D77)</f>
        <v>0</v>
      </c>
      <c r="H72" s="68"/>
      <c r="I72" s="68"/>
    </row>
    <row r="73" spans="1:10" s="67" customFormat="1" ht="11.4">
      <c r="A73" s="76" t="s">
        <v>141</v>
      </c>
      <c r="B73" s="72"/>
      <c r="C73" s="71"/>
      <c r="D73" s="71"/>
      <c r="H73" s="68"/>
      <c r="I73" s="68"/>
    </row>
    <row r="74" spans="1:10" s="67" customFormat="1" ht="11.4">
      <c r="A74" s="76" t="s">
        <v>227</v>
      </c>
      <c r="B74" s="70" t="s">
        <v>228</v>
      </c>
      <c r="C74" s="71"/>
      <c r="D74" s="71"/>
      <c r="H74" s="68"/>
      <c r="I74" s="68"/>
      <c r="J74" s="67">
        <v>16</v>
      </c>
    </row>
    <row r="75" spans="1:10" s="67" customFormat="1" ht="11.4">
      <c r="A75" s="76" t="s">
        <v>229</v>
      </c>
      <c r="B75" s="70" t="s">
        <v>230</v>
      </c>
      <c r="C75" s="71"/>
      <c r="D75" s="71"/>
      <c r="H75" s="68"/>
      <c r="I75" s="68"/>
    </row>
    <row r="76" spans="1:10" s="67" customFormat="1" ht="11.4">
      <c r="A76" s="76" t="s">
        <v>150</v>
      </c>
      <c r="B76" s="70" t="s">
        <v>231</v>
      </c>
      <c r="C76" s="71"/>
      <c r="D76" s="71"/>
      <c r="H76" s="68"/>
      <c r="I76" s="68"/>
      <c r="J76" s="67">
        <v>120</v>
      </c>
    </row>
    <row r="77" spans="1:10" s="67" customFormat="1" ht="11.4">
      <c r="A77" s="76" t="s">
        <v>152</v>
      </c>
      <c r="B77" s="70" t="s">
        <v>232</v>
      </c>
      <c r="C77" s="71"/>
      <c r="D77" s="71"/>
      <c r="H77" s="68">
        <v>2744095487.73</v>
      </c>
      <c r="I77" s="68">
        <v>2990553886.7399998</v>
      </c>
      <c r="J77" s="67">
        <v>-246458399.00999975</v>
      </c>
    </row>
    <row r="78" spans="1:10" s="67" customFormat="1" ht="11.4">
      <c r="A78" s="76" t="s">
        <v>233</v>
      </c>
      <c r="B78" s="70">
        <v>100</v>
      </c>
      <c r="C78" s="71">
        <f>SUM(C80:C84)</f>
        <v>7560</v>
      </c>
      <c r="D78" s="71">
        <f>SUM(D80:D84)</f>
        <v>7480</v>
      </c>
      <c r="H78" s="68">
        <v>1064380202.04</v>
      </c>
      <c r="I78" s="68"/>
    </row>
    <row r="79" spans="1:10" s="67" customFormat="1" ht="11.4">
      <c r="A79" s="76" t="s">
        <v>141</v>
      </c>
      <c r="B79" s="72"/>
      <c r="C79" s="71"/>
      <c r="D79" s="71"/>
      <c r="H79" s="68">
        <v>0</v>
      </c>
      <c r="I79" s="68"/>
    </row>
    <row r="80" spans="1:10" s="67" customFormat="1" ht="11.4">
      <c r="A80" s="76" t="s">
        <v>234</v>
      </c>
      <c r="B80" s="70">
        <v>101</v>
      </c>
      <c r="C80" s="71"/>
      <c r="D80" s="71"/>
      <c r="H80" s="68"/>
      <c r="I80" s="68"/>
    </row>
    <row r="81" spans="1:9" s="67" customFormat="1" ht="11.4">
      <c r="A81" s="76" t="s">
        <v>162</v>
      </c>
      <c r="B81" s="70">
        <v>102</v>
      </c>
      <c r="C81" s="71"/>
      <c r="D81" s="71"/>
      <c r="H81" s="68"/>
      <c r="I81" s="68"/>
    </row>
    <row r="82" spans="1:9" s="67" customFormat="1" ht="11.4">
      <c r="A82" s="76" t="s">
        <v>235</v>
      </c>
      <c r="B82" s="70">
        <v>103</v>
      </c>
      <c r="C82" s="71"/>
      <c r="D82" s="71"/>
      <c r="H82" s="68"/>
      <c r="I82" s="68"/>
    </row>
    <row r="83" spans="1:9" s="67" customFormat="1" ht="11.4">
      <c r="A83" s="76" t="s">
        <v>236</v>
      </c>
      <c r="B83" s="70">
        <v>104</v>
      </c>
      <c r="C83" s="71"/>
      <c r="D83" s="71"/>
      <c r="H83" s="68"/>
      <c r="I83" s="68"/>
    </row>
    <row r="84" spans="1:9" s="67" customFormat="1" ht="11.4">
      <c r="A84" s="76" t="s">
        <v>237</v>
      </c>
      <c r="B84" s="70">
        <v>105</v>
      </c>
      <c r="C84" s="71">
        <v>7560</v>
      </c>
      <c r="D84" s="71">
        <v>7480</v>
      </c>
      <c r="H84" s="68"/>
      <c r="I84" s="68"/>
    </row>
    <row r="85" spans="1:9" s="67" customFormat="1" ht="22.8">
      <c r="A85" s="76" t="s">
        <v>238</v>
      </c>
      <c r="B85" s="70">
        <v>110</v>
      </c>
      <c r="C85" s="71">
        <f>C72-C78</f>
        <v>-7560</v>
      </c>
      <c r="D85" s="71">
        <f>D72-D78</f>
        <v>-7480</v>
      </c>
      <c r="H85" s="68"/>
      <c r="I85" s="68"/>
    </row>
    <row r="86" spans="1:9" s="67" customFormat="1" ht="11.4">
      <c r="A86" s="76" t="s">
        <v>239</v>
      </c>
      <c r="B86" s="70">
        <v>120</v>
      </c>
      <c r="C86" s="71">
        <v>-72428</v>
      </c>
      <c r="D86" s="71">
        <v>-459</v>
      </c>
      <c r="H86" s="68"/>
      <c r="I86" s="68"/>
    </row>
    <row r="87" spans="1:9" s="67" customFormat="1" ht="22.8">
      <c r="A87" s="76" t="s">
        <v>240</v>
      </c>
      <c r="B87" s="70">
        <v>130</v>
      </c>
      <c r="C87" s="71"/>
      <c r="D87" s="71"/>
      <c r="H87" s="68"/>
      <c r="I87" s="68"/>
    </row>
    <row r="88" spans="1:9" s="67" customFormat="1" ht="22.8">
      <c r="A88" s="76" t="s">
        <v>241</v>
      </c>
      <c r="B88" s="70">
        <v>140</v>
      </c>
      <c r="C88" s="71">
        <f>C39+C70+C85+C86+C87</f>
        <v>-315788.39900999982</v>
      </c>
      <c r="D88" s="71">
        <f>D39+D70+D85+D86+D87</f>
        <v>-148752</v>
      </c>
      <c r="H88" s="68"/>
      <c r="I88" s="68"/>
    </row>
    <row r="89" spans="1:9" s="67" customFormat="1" ht="22.8">
      <c r="A89" s="76" t="s">
        <v>242</v>
      </c>
      <c r="B89" s="70">
        <v>150</v>
      </c>
      <c r="C89" s="71">
        <f>H18/1000</f>
        <v>1310838.6010499999</v>
      </c>
      <c r="D89" s="71">
        <v>247136</v>
      </c>
      <c r="H89" s="68"/>
      <c r="I89" s="68"/>
    </row>
    <row r="90" spans="1:9" s="67" customFormat="1" ht="22.8">
      <c r="A90" s="76" t="s">
        <v>243</v>
      </c>
      <c r="B90" s="70">
        <v>160</v>
      </c>
      <c r="C90" s="77">
        <f>SUM(C88:C89)</f>
        <v>995050.20204000012</v>
      </c>
      <c r="D90" s="77">
        <f>SUM(D88:D89)</f>
        <v>98384</v>
      </c>
      <c r="H90" s="68"/>
      <c r="I90" s="68"/>
    </row>
    <row r="91" spans="1:9" s="67" customFormat="1" ht="11.4">
      <c r="A91" s="178"/>
      <c r="B91" s="178"/>
      <c r="C91" s="178"/>
      <c r="D91" s="178"/>
      <c r="H91" s="68"/>
      <c r="I91" s="68"/>
    </row>
    <row r="92" spans="1:9" s="67" customFormat="1" ht="11.4" customHeight="1">
      <c r="A92" s="173" t="s">
        <v>253</v>
      </c>
      <c r="B92" s="173"/>
      <c r="C92" s="173"/>
      <c r="D92" s="173"/>
      <c r="H92" s="68"/>
      <c r="I92" s="68"/>
    </row>
    <row r="93" spans="1:9" s="67" customFormat="1" ht="11.4" customHeight="1">
      <c r="A93" s="173" t="s">
        <v>244</v>
      </c>
      <c r="B93" s="173"/>
      <c r="C93" s="173"/>
      <c r="D93" s="173"/>
      <c r="H93" s="68"/>
      <c r="I93" s="68"/>
    </row>
    <row r="94" spans="1:9" s="67" customFormat="1" ht="11.4" customHeight="1">
      <c r="A94" s="173" t="s">
        <v>254</v>
      </c>
      <c r="B94" s="173"/>
      <c r="C94" s="173"/>
      <c r="D94" s="173"/>
      <c r="H94" s="68"/>
      <c r="I94" s="68"/>
    </row>
    <row r="95" spans="1:9" s="67" customFormat="1" ht="11.4" customHeight="1">
      <c r="A95" s="173" t="s">
        <v>245</v>
      </c>
      <c r="B95" s="173"/>
      <c r="C95" s="173"/>
      <c r="D95" s="173"/>
      <c r="H95" s="68"/>
      <c r="I95" s="68"/>
    </row>
    <row r="96" spans="1:9" s="67" customFormat="1" ht="11.4">
      <c r="A96" s="173"/>
      <c r="B96" s="173"/>
      <c r="C96" s="173"/>
      <c r="D96" s="173"/>
      <c r="H96" s="68"/>
      <c r="I96" s="68"/>
    </row>
    <row r="97" spans="1:9" s="67" customFormat="1" ht="11.4">
      <c r="A97" s="173" t="s">
        <v>246</v>
      </c>
      <c r="B97" s="173"/>
      <c r="C97" s="173"/>
      <c r="D97" s="173"/>
      <c r="H97" s="68"/>
      <c r="I97" s="68"/>
    </row>
    <row r="98" spans="1:9" s="67" customFormat="1" ht="11.4">
      <c r="A98" s="75"/>
      <c r="H98" s="68"/>
      <c r="I98" s="68"/>
    </row>
    <row r="99" spans="1:9" s="67" customFormat="1" ht="11.4">
      <c r="A99" s="73"/>
      <c r="H99" s="68"/>
      <c r="I99" s="68"/>
    </row>
  </sheetData>
  <mergeCells count="29">
    <mergeCell ref="A93:D93"/>
    <mergeCell ref="A94:D94"/>
    <mergeCell ref="A95:D95"/>
    <mergeCell ref="A96:D96"/>
    <mergeCell ref="A97:D97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82677165354330717" right="0.43307086614173229" top="0.74803149606299213" bottom="0.74803149606299213" header="0.31496062992125984" footer="0.31496062992125984"/>
  <pageSetup paperSize="9" scale="91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F24"/>
  <sheetViews>
    <sheetView workbookViewId="0">
      <selection activeCell="D11" sqref="D11"/>
    </sheetView>
  </sheetViews>
  <sheetFormatPr defaultRowHeight="14.4"/>
  <cols>
    <col min="1" max="1" width="34.44140625" customWidth="1"/>
    <col min="3" max="5" width="18" customWidth="1"/>
  </cols>
  <sheetData>
    <row r="1" spans="1:6">
      <c r="A1" s="156" t="s">
        <v>119</v>
      </c>
      <c r="B1" s="156"/>
      <c r="C1" s="156"/>
      <c r="D1" s="156"/>
      <c r="E1" s="156"/>
    </row>
    <row r="2" spans="1:6" ht="47.25" customHeight="1">
      <c r="A2" s="155" t="s">
        <v>385</v>
      </c>
      <c r="B2" s="155"/>
      <c r="C2" s="155"/>
      <c r="D2" s="152"/>
      <c r="E2" s="45"/>
    </row>
    <row r="3" spans="1:6">
      <c r="A3" s="32"/>
    </row>
    <row r="4" spans="1:6">
      <c r="A4" s="16"/>
      <c r="B4" s="16"/>
      <c r="C4" s="16"/>
      <c r="D4" s="4"/>
      <c r="E4" s="16"/>
    </row>
    <row r="5" spans="1:6">
      <c r="A5" s="16"/>
      <c r="B5" s="16"/>
      <c r="E5" s="16"/>
    </row>
    <row r="6" spans="1:6" ht="22.2" thickBot="1">
      <c r="A6" s="144" t="s">
        <v>63</v>
      </c>
      <c r="B6" s="145" t="s">
        <v>1</v>
      </c>
      <c r="C6" s="146" t="s">
        <v>46</v>
      </c>
      <c r="D6" s="146" t="s">
        <v>375</v>
      </c>
      <c r="E6" s="146" t="s">
        <v>100</v>
      </c>
    </row>
    <row r="7" spans="1:6">
      <c r="A7" s="9" t="s">
        <v>380</v>
      </c>
      <c r="B7" s="10"/>
      <c r="C7" s="21">
        <f>SUM(C8:C9)</f>
        <v>5500000</v>
      </c>
      <c r="D7" s="21">
        <f>D9-D8</f>
        <v>3561788</v>
      </c>
      <c r="E7" s="21">
        <f>E9-E8</f>
        <v>9061788</v>
      </c>
    </row>
    <row r="8" spans="1:6" ht="15" thickBot="1">
      <c r="A8" s="7" t="s">
        <v>101</v>
      </c>
      <c r="B8" s="10"/>
      <c r="C8" s="33" t="s">
        <v>19</v>
      </c>
      <c r="D8" s="78">
        <v>2451358</v>
      </c>
      <c r="E8" s="78">
        <f>SUM(C8:D8)</f>
        <v>2451358</v>
      </c>
    </row>
    <row r="9" spans="1:6" ht="16.95" customHeight="1">
      <c r="A9" s="9" t="s">
        <v>376</v>
      </c>
      <c r="B9" s="10"/>
      <c r="C9" s="21">
        <v>5500000</v>
      </c>
      <c r="D9" s="21">
        <f>[2]ОФП!D26</f>
        <v>6013146</v>
      </c>
      <c r="E9" s="21">
        <f>SUM(C9:D9)</f>
        <v>11513146</v>
      </c>
    </row>
    <row r="10" spans="1:6">
      <c r="A10" s="7" t="s">
        <v>251</v>
      </c>
      <c r="B10" s="10"/>
      <c r="C10" s="19" t="s">
        <v>19</v>
      </c>
      <c r="D10" s="19">
        <f>'ОДР и ПСД'!C21</f>
        <v>377189.08422999992</v>
      </c>
      <c r="E10" s="19">
        <f t="shared" ref="E10:E11" si="0">SUM(C10:D10)</f>
        <v>377189.08422999992</v>
      </c>
    </row>
    <row r="11" spans="1:6" ht="15" thickBot="1">
      <c r="A11" s="9" t="s">
        <v>388</v>
      </c>
      <c r="B11" s="10"/>
      <c r="C11" s="22">
        <f>SUM(C9:C10)</f>
        <v>5500000</v>
      </c>
      <c r="D11" s="22">
        <f>SUM(D9:D10)</f>
        <v>6390335.0842300002</v>
      </c>
      <c r="E11" s="22">
        <f t="shared" si="0"/>
        <v>11890335.08423</v>
      </c>
      <c r="F11" s="28">
        <f>E11-ОФП!C26</f>
        <v>-1.8000043928623199E-4</v>
      </c>
    </row>
    <row r="12" spans="1:6" ht="15" thickTop="1">
      <c r="A12" s="147"/>
      <c r="B12" s="148"/>
      <c r="C12" s="149"/>
      <c r="D12" s="150"/>
      <c r="E12" s="149"/>
      <c r="F12" s="141"/>
    </row>
    <row r="13" spans="1:6">
      <c r="A13" s="9"/>
      <c r="B13" s="10"/>
      <c r="C13" s="21"/>
      <c r="D13" s="21"/>
      <c r="E13" s="21"/>
    </row>
    <row r="14" spans="1:6">
      <c r="A14" s="34"/>
      <c r="E14" s="28"/>
    </row>
    <row r="15" spans="1:6">
      <c r="A15" s="12" t="s">
        <v>382</v>
      </c>
      <c r="D15" s="28"/>
    </row>
    <row r="16" spans="1:6">
      <c r="A16" s="12"/>
      <c r="D16" s="28"/>
    </row>
    <row r="17" spans="1:4">
      <c r="A17" s="12"/>
      <c r="D17" s="28"/>
    </row>
    <row r="18" spans="1:4">
      <c r="A18" s="12" t="s">
        <v>22</v>
      </c>
    </row>
    <row r="19" spans="1:4" ht="7.2" customHeight="1">
      <c r="A19" s="14" t="s">
        <v>23</v>
      </c>
    </row>
    <row r="20" spans="1:4">
      <c r="A20" s="15" t="s">
        <v>24</v>
      </c>
      <c r="D20" s="15" t="s">
        <v>360</v>
      </c>
    </row>
    <row r="21" spans="1:4" ht="5.4" customHeight="1">
      <c r="A21" s="12"/>
      <c r="C21" s="126"/>
    </row>
    <row r="22" spans="1:4">
      <c r="A22" s="12" t="s">
        <v>26</v>
      </c>
      <c r="D22" s="127" t="s">
        <v>359</v>
      </c>
    </row>
    <row r="23" spans="1:4" ht="5.4" customHeight="1">
      <c r="A23" s="12"/>
      <c r="C23" s="126"/>
    </row>
    <row r="24" spans="1:4">
      <c r="A24" s="12" t="s">
        <v>362</v>
      </c>
      <c r="B24" t="s">
        <v>23</v>
      </c>
      <c r="D24" t="s">
        <v>255</v>
      </c>
    </row>
  </sheetData>
  <mergeCells count="2">
    <mergeCell ref="A1:E1"/>
    <mergeCell ref="A2:C2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9894-6FFC-4602-A247-52029651C77F}">
  <dimension ref="A1:P31"/>
  <sheetViews>
    <sheetView topLeftCell="A8" workbookViewId="0">
      <selection activeCell="L20" sqref="L20"/>
    </sheetView>
  </sheetViews>
  <sheetFormatPr defaultRowHeight="14.4"/>
  <cols>
    <col min="1" max="1" width="26.33203125" customWidth="1"/>
    <col min="2" max="2" width="9.5546875" customWidth="1"/>
    <col min="3" max="3" width="12.33203125" customWidth="1"/>
    <col min="5" max="5" width="9.33203125" customWidth="1"/>
    <col min="7" max="7" width="9.88671875" customWidth="1"/>
    <col min="8" max="8" width="25.88671875" customWidth="1"/>
    <col min="11" max="11" width="12" bestFit="1" customWidth="1"/>
    <col min="12" max="12" width="9.5546875" bestFit="1" customWidth="1"/>
    <col min="14" max="14" width="12.88671875" customWidth="1"/>
  </cols>
  <sheetData>
    <row r="1" spans="1:15">
      <c r="A1" s="103" t="s">
        <v>30</v>
      </c>
    </row>
    <row r="2" spans="1:15">
      <c r="A2" s="104"/>
    </row>
    <row r="3" spans="1:15">
      <c r="A3" s="16"/>
      <c r="B3" s="179" t="s">
        <v>340</v>
      </c>
      <c r="C3" s="106"/>
      <c r="D3" s="106"/>
      <c r="E3" s="179" t="s">
        <v>344</v>
      </c>
      <c r="F3" s="16"/>
      <c r="G3" s="16"/>
    </row>
    <row r="4" spans="1:15" ht="20.399999999999999">
      <c r="A4" s="105" t="s">
        <v>63</v>
      </c>
      <c r="B4" s="179"/>
      <c r="C4" s="105" t="s">
        <v>341</v>
      </c>
      <c r="D4" s="4" t="s">
        <v>342</v>
      </c>
      <c r="E4" s="179"/>
      <c r="F4" s="4" t="s">
        <v>283</v>
      </c>
      <c r="G4" s="4" t="s">
        <v>100</v>
      </c>
    </row>
    <row r="5" spans="1:15" ht="15" thickBot="1">
      <c r="A5" s="3"/>
      <c r="B5" s="180"/>
      <c r="C5" s="6"/>
      <c r="D5" s="33" t="s">
        <v>343</v>
      </c>
      <c r="E5" s="180"/>
      <c r="F5" s="6"/>
      <c r="G5" s="6"/>
    </row>
    <row r="6" spans="1:15" ht="15" thickBot="1">
      <c r="A6" s="107" t="s">
        <v>345</v>
      </c>
      <c r="B6" s="10"/>
      <c r="C6" s="10"/>
      <c r="D6" s="10"/>
      <c r="E6" s="10"/>
      <c r="F6" s="10"/>
      <c r="G6" s="10"/>
    </row>
    <row r="7" spans="1:15">
      <c r="A7" s="1" t="s">
        <v>346</v>
      </c>
      <c r="B7" s="108">
        <v>222229</v>
      </c>
      <c r="C7" s="108">
        <v>2041412</v>
      </c>
      <c r="D7" s="108">
        <v>90940</v>
      </c>
      <c r="E7" s="108">
        <v>303013</v>
      </c>
      <c r="F7" s="108">
        <v>791892</v>
      </c>
      <c r="G7" s="108">
        <v>3449486</v>
      </c>
    </row>
    <row r="8" spans="1:15">
      <c r="A8" s="1" t="s">
        <v>347</v>
      </c>
      <c r="B8" s="99">
        <v>14268</v>
      </c>
      <c r="C8" s="109">
        <v>573239</v>
      </c>
      <c r="D8" s="99" t="s">
        <v>19</v>
      </c>
      <c r="E8" s="99">
        <v>235782</v>
      </c>
      <c r="F8" s="99">
        <v>5773</v>
      </c>
      <c r="G8" s="99">
        <v>829062</v>
      </c>
    </row>
    <row r="9" spans="1:15">
      <c r="A9" s="1" t="s">
        <v>348</v>
      </c>
      <c r="B9" s="99">
        <v>636</v>
      </c>
      <c r="C9" s="99">
        <v>184486</v>
      </c>
      <c r="D9" s="99" t="s">
        <v>19</v>
      </c>
      <c r="E9" s="99">
        <v>-173831</v>
      </c>
      <c r="F9" s="99">
        <v>7573</v>
      </c>
      <c r="G9" s="99">
        <v>18864</v>
      </c>
    </row>
    <row r="10" spans="1:15">
      <c r="A10" s="181" t="s">
        <v>349</v>
      </c>
      <c r="B10" s="110"/>
      <c r="C10" s="110"/>
      <c r="D10" s="110"/>
      <c r="E10" s="110"/>
      <c r="F10" s="110"/>
      <c r="G10" s="110"/>
    </row>
    <row r="11" spans="1:15">
      <c r="A11" s="181"/>
      <c r="B11" s="99" t="s">
        <v>19</v>
      </c>
      <c r="C11" s="99" t="s">
        <v>19</v>
      </c>
      <c r="D11" s="99" t="s">
        <v>19</v>
      </c>
      <c r="E11" s="99">
        <v>-18864</v>
      </c>
      <c r="F11" s="99" t="s">
        <v>19</v>
      </c>
      <c r="G11" s="99">
        <v>-18864</v>
      </c>
      <c r="J11" t="s">
        <v>357</v>
      </c>
      <c r="L11" t="s">
        <v>356</v>
      </c>
    </row>
    <row r="12" spans="1:15" ht="15" thickBot="1">
      <c r="A12" s="1" t="s">
        <v>350</v>
      </c>
      <c r="B12" s="78" t="s">
        <v>19</v>
      </c>
      <c r="C12" s="111">
        <v>-24034</v>
      </c>
      <c r="D12" s="78" t="s">
        <v>19</v>
      </c>
      <c r="E12" s="78" t="s">
        <v>19</v>
      </c>
      <c r="F12" s="78">
        <v>-1538</v>
      </c>
      <c r="G12" s="78">
        <v>-25572</v>
      </c>
      <c r="I12" s="28">
        <f>B13-I13</f>
        <v>5.5579999985639006E-2</v>
      </c>
      <c r="J12" s="28">
        <f>C13-J13</f>
        <v>0.27430999977514148</v>
      </c>
      <c r="K12" s="28">
        <f>D13-K13</f>
        <v>0</v>
      </c>
      <c r="L12" s="28">
        <f>E13-L13</f>
        <v>0</v>
      </c>
      <c r="M12" s="28">
        <f>F13-M13</f>
        <v>7.7709999983198941E-2</v>
      </c>
    </row>
    <row r="13" spans="1:15" ht="15" thickBot="1">
      <c r="A13" s="1" t="s">
        <v>248</v>
      </c>
      <c r="B13" s="78">
        <v>237133</v>
      </c>
      <c r="C13" s="78">
        <v>2775103</v>
      </c>
      <c r="D13" s="78">
        <v>90940</v>
      </c>
      <c r="E13" s="78">
        <v>346100</v>
      </c>
      <c r="F13" s="78">
        <v>803700</v>
      </c>
      <c r="G13" s="78">
        <v>4252976</v>
      </c>
      <c r="H13" t="s">
        <v>248</v>
      </c>
      <c r="I13" s="99">
        <f>5065.05944+95603.84478+134922.63782+1541.40238</f>
        <v>237132.94442000001</v>
      </c>
      <c r="J13" s="28">
        <f>2682231.72569+92871</f>
        <v>2775102.7256900002</v>
      </c>
      <c r="K13" s="28">
        <f t="shared" ref="K13" si="0">D13</f>
        <v>90940</v>
      </c>
      <c r="L13" s="28">
        <f>321632+24468</f>
        <v>346100</v>
      </c>
      <c r="M13" s="28">
        <f>114810.98723+16514.91939+672401.01567-27</f>
        <v>803699.92229000002</v>
      </c>
      <c r="N13" s="28">
        <f>SUM(I13:M13)</f>
        <v>4252975.5924000004</v>
      </c>
    </row>
    <row r="14" spans="1:15">
      <c r="A14" s="1" t="s">
        <v>347</v>
      </c>
      <c r="B14" s="112">
        <v>8125</v>
      </c>
      <c r="C14" s="112">
        <v>24003</v>
      </c>
      <c r="D14" s="112" t="s">
        <v>19</v>
      </c>
      <c r="E14" s="112">
        <v>657073</v>
      </c>
      <c r="F14" s="112">
        <v>3734</v>
      </c>
      <c r="G14" s="112">
        <v>692935</v>
      </c>
      <c r="H14" t="s">
        <v>347</v>
      </c>
      <c r="I14" s="28">
        <f>848780.00596</f>
        <v>848780.00595999998</v>
      </c>
      <c r="J14" s="28">
        <f>42416.89535+87444.4</f>
        <v>129861.29535</v>
      </c>
      <c r="L14" s="28">
        <f>22658+924841.73406</f>
        <v>947499.73406000005</v>
      </c>
      <c r="M14" s="28">
        <f>84.98215+3620.17857+287.815+114</f>
        <v>4106.9757200000004</v>
      </c>
      <c r="N14" s="28">
        <f t="shared" ref="N14:N18" si="1">SUM(I14:M14)</f>
        <v>1930248.0110900002</v>
      </c>
      <c r="O14" s="28"/>
    </row>
    <row r="15" spans="1:15">
      <c r="A15" s="1" t="s">
        <v>348</v>
      </c>
      <c r="B15" s="112">
        <v>7555</v>
      </c>
      <c r="C15" s="112">
        <v>59772</v>
      </c>
      <c r="D15" s="113"/>
      <c r="E15" s="112">
        <v>-94323</v>
      </c>
      <c r="F15" s="112">
        <v>337955</v>
      </c>
      <c r="G15" s="112" t="s">
        <v>9</v>
      </c>
      <c r="H15" t="s">
        <v>348</v>
      </c>
      <c r="I15" s="28">
        <v>7554.9821400000001</v>
      </c>
      <c r="J15" s="28">
        <f>841607.81699-18344.64357</f>
        <v>823263.17342000001</v>
      </c>
      <c r="K15" s="28"/>
      <c r="L15" s="28"/>
      <c r="M15" s="28">
        <f>4886.87503+337641.66451</f>
        <v>342528.53953999997</v>
      </c>
      <c r="N15" s="28">
        <f t="shared" si="1"/>
        <v>1173346.6950999999</v>
      </c>
      <c r="O15" s="28"/>
    </row>
    <row r="16" spans="1:15">
      <c r="A16" s="181" t="s">
        <v>349</v>
      </c>
      <c r="B16" s="113"/>
      <c r="C16" s="113"/>
      <c r="D16" s="113"/>
      <c r="E16" s="113"/>
      <c r="F16" s="113"/>
      <c r="G16" s="113"/>
      <c r="H16" t="s">
        <v>349</v>
      </c>
      <c r="I16" s="28"/>
      <c r="J16" s="28"/>
      <c r="K16" s="28"/>
      <c r="L16" s="28"/>
      <c r="M16" s="28"/>
      <c r="N16" s="28">
        <f t="shared" si="1"/>
        <v>0</v>
      </c>
      <c r="O16" s="28"/>
    </row>
    <row r="17" spans="1:16">
      <c r="A17" s="181"/>
      <c r="B17" s="112" t="s">
        <v>351</v>
      </c>
      <c r="C17" s="112">
        <v>83781</v>
      </c>
      <c r="D17" s="112" t="s">
        <v>19</v>
      </c>
      <c r="E17" s="112">
        <v>-24524</v>
      </c>
      <c r="F17" s="112">
        <v>401</v>
      </c>
      <c r="G17" s="112">
        <v>59658</v>
      </c>
      <c r="I17" s="28"/>
      <c r="J17" s="28"/>
      <c r="K17" s="28"/>
      <c r="L17" s="28">
        <v>-24468</v>
      </c>
      <c r="M17" s="28">
        <v>50</v>
      </c>
      <c r="N17" s="28">
        <f t="shared" si="1"/>
        <v>-24418</v>
      </c>
      <c r="O17" s="28"/>
    </row>
    <row r="18" spans="1:16" ht="15" thickBot="1">
      <c r="A18" s="1" t="s">
        <v>350</v>
      </c>
      <c r="B18" s="114" t="s">
        <v>352</v>
      </c>
      <c r="C18" s="114">
        <v>-17543</v>
      </c>
      <c r="D18" s="114">
        <v>-248</v>
      </c>
      <c r="E18" s="115" t="s">
        <v>19</v>
      </c>
      <c r="F18" s="115" t="s">
        <v>19</v>
      </c>
      <c r="G18" s="115">
        <v>-20023</v>
      </c>
      <c r="H18" t="s">
        <v>350</v>
      </c>
      <c r="I18" s="28"/>
      <c r="J18" s="28">
        <f>-(216942.97573+105.95242+138285.46168)</f>
        <v>-355334.38983</v>
      </c>
      <c r="K18" s="28">
        <f>-1157.33716-1322.67097</f>
        <v>-2480.0081300000002</v>
      </c>
      <c r="L18" s="28">
        <f>-1191691.33867+18344.64357-7872.32137-56.60714</f>
        <v>-1181275.6236099999</v>
      </c>
      <c r="M18" s="28"/>
      <c r="N18" s="28">
        <f t="shared" si="1"/>
        <v>-1539090.0215699999</v>
      </c>
      <c r="O18" s="28"/>
    </row>
    <row r="19" spans="1:16" ht="15" thickBot="1">
      <c r="A19" s="1" t="s">
        <v>339</v>
      </c>
      <c r="B19" s="115">
        <v>252813</v>
      </c>
      <c r="C19" s="116">
        <v>3463064</v>
      </c>
      <c r="D19" s="115">
        <v>88460</v>
      </c>
      <c r="E19" s="115">
        <v>35419</v>
      </c>
      <c r="F19" s="115">
        <v>1145790</v>
      </c>
      <c r="G19" s="117">
        <v>4985546</v>
      </c>
      <c r="H19" t="s">
        <v>339</v>
      </c>
      <c r="I19" s="28">
        <f>SUM(I13:I18)</f>
        <v>1093467.93252</v>
      </c>
      <c r="J19" s="28">
        <f>SUM(J13:J18)</f>
        <v>3372892.8046300001</v>
      </c>
      <c r="K19" s="28">
        <f t="shared" ref="K19" si="2">SUM(K13:K18)</f>
        <v>88459.991869999998</v>
      </c>
      <c r="L19" s="28">
        <f>SUM(L13:L18)</f>
        <v>87856.110450000269</v>
      </c>
      <c r="M19" s="28">
        <f>SUM(M13:M18)</f>
        <v>1150385.4375499999</v>
      </c>
      <c r="N19" s="28">
        <f>SUM(I19:M19)</f>
        <v>5793062.2770200009</v>
      </c>
      <c r="O19" s="28">
        <f>6113226.239-409561.564+1541.402+87856.395</f>
        <v>5793062.4719999991</v>
      </c>
    </row>
    <row r="20" spans="1:16" ht="15" thickBot="1">
      <c r="A20" s="107" t="s">
        <v>353</v>
      </c>
      <c r="B20" s="118"/>
      <c r="C20" s="118"/>
      <c r="D20" s="118"/>
      <c r="E20" s="118"/>
      <c r="F20" s="118"/>
      <c r="G20" s="118"/>
    </row>
    <row r="21" spans="1:16">
      <c r="A21" s="1" t="s">
        <v>346</v>
      </c>
      <c r="B21" s="99">
        <v>17586</v>
      </c>
      <c r="C21" s="99">
        <v>348279</v>
      </c>
      <c r="D21" s="99">
        <v>14413</v>
      </c>
      <c r="E21" s="99" t="s">
        <v>19</v>
      </c>
      <c r="F21" s="99">
        <v>29774</v>
      </c>
      <c r="G21" s="99">
        <v>410052</v>
      </c>
      <c r="I21" s="28"/>
      <c r="J21" s="28"/>
      <c r="K21" s="28"/>
      <c r="L21" s="28"/>
      <c r="M21" s="28"/>
      <c r="N21" s="28"/>
    </row>
    <row r="22" spans="1:16">
      <c r="A22" s="1" t="s">
        <v>354</v>
      </c>
      <c r="B22" s="99">
        <v>22879</v>
      </c>
      <c r="C22" s="99">
        <v>364024</v>
      </c>
      <c r="D22" s="99">
        <v>18218</v>
      </c>
      <c r="E22" s="99" t="s">
        <v>19</v>
      </c>
      <c r="F22" s="99">
        <v>43323</v>
      </c>
      <c r="G22" s="99">
        <v>448444</v>
      </c>
      <c r="I22" s="28">
        <f>I24-I23</f>
        <v>-949.85874999999942</v>
      </c>
      <c r="J22" s="28">
        <f>J24-J23</f>
        <v>-31.738490000017919</v>
      </c>
      <c r="K22" s="28">
        <f t="shared" ref="K22:N22" si="3">K24-K23</f>
        <v>0.45288000000073225</v>
      </c>
      <c r="L22" s="28">
        <f t="shared" si="3"/>
        <v>0</v>
      </c>
      <c r="M22" s="28">
        <f t="shared" si="3"/>
        <v>981.87179999999353</v>
      </c>
      <c r="N22" s="28">
        <f t="shared" si="3"/>
        <v>0.72743999992962927</v>
      </c>
    </row>
    <row r="23" spans="1:16" ht="15" thickBot="1">
      <c r="A23" s="1" t="s">
        <v>350</v>
      </c>
      <c r="B23" s="78" t="s">
        <v>19</v>
      </c>
      <c r="C23" s="78">
        <v>-3821</v>
      </c>
      <c r="D23" s="78" t="s">
        <v>19</v>
      </c>
      <c r="E23" s="78" t="s">
        <v>19</v>
      </c>
      <c r="F23" s="78">
        <v>-743</v>
      </c>
      <c r="G23" s="78">
        <v>-4564</v>
      </c>
      <c r="I23" s="28">
        <f>16396.45149+24735.81682+282.59044</f>
        <v>41414.858749999999</v>
      </c>
      <c r="J23" s="28">
        <f>580435.33838+128078.40011</f>
        <v>708513.73849000002</v>
      </c>
      <c r="K23" s="28">
        <v>32630.547119999999</v>
      </c>
      <c r="L23" s="28"/>
      <c r="M23" s="28">
        <f>19647.36089+5492.964+46231.80331</f>
        <v>71372.128200000006</v>
      </c>
      <c r="N23" s="28">
        <f>SUM(I23:M23)</f>
        <v>853931.27256000007</v>
      </c>
    </row>
    <row r="24" spans="1:16" ht="15" thickBot="1">
      <c r="A24" s="1" t="s">
        <v>248</v>
      </c>
      <c r="B24" s="78">
        <v>40465</v>
      </c>
      <c r="C24" s="78">
        <v>708482</v>
      </c>
      <c r="D24" s="78">
        <v>32631</v>
      </c>
      <c r="E24" s="78" t="s">
        <v>19</v>
      </c>
      <c r="F24" s="78">
        <v>72354</v>
      </c>
      <c r="G24" s="78">
        <v>853932</v>
      </c>
      <c r="I24" s="28">
        <f>B24</f>
        <v>40465</v>
      </c>
      <c r="J24" s="28">
        <f>C24</f>
        <v>708482</v>
      </c>
      <c r="K24" s="28">
        <f t="shared" ref="K24" si="4">D24</f>
        <v>32631</v>
      </c>
      <c r="L24" s="28">
        <v>0</v>
      </c>
      <c r="M24" s="28">
        <f>F24</f>
        <v>72354</v>
      </c>
      <c r="N24" s="28">
        <f t="shared" ref="N24" si="5">SUM(I24:M24)</f>
        <v>853932</v>
      </c>
    </row>
    <row r="25" spans="1:16">
      <c r="A25" s="1" t="s">
        <v>354</v>
      </c>
      <c r="B25" s="112">
        <v>13025</v>
      </c>
      <c r="C25" s="112">
        <v>257432</v>
      </c>
      <c r="D25" s="112">
        <v>9047</v>
      </c>
      <c r="E25" s="112" t="s">
        <v>19</v>
      </c>
      <c r="F25" s="112">
        <v>29413</v>
      </c>
      <c r="G25" s="112">
        <v>308917</v>
      </c>
      <c r="H25" t="s">
        <v>354</v>
      </c>
      <c r="I25" s="28">
        <f>7343.12259+12209.86211+115.60518</f>
        <v>19668.58988</v>
      </c>
      <c r="J25" s="28">
        <f>3783.07068+400407.98832</f>
        <v>404191.05900000001</v>
      </c>
      <c r="K25" s="28">
        <f>1357.3449+12090.35157</f>
        <v>13447.696470000001</v>
      </c>
      <c r="L25" s="28"/>
      <c r="M25" s="28">
        <f>8938.94904+2459.28006+675.33712+559.17857+22569.12247-1</f>
        <v>35200.867259999999</v>
      </c>
      <c r="N25" s="28">
        <f>SUM(I25:M25)</f>
        <v>472508.21261000005</v>
      </c>
    </row>
    <row r="26" spans="1:16" ht="15" thickBot="1">
      <c r="A26" s="1" t="s">
        <v>350</v>
      </c>
      <c r="B26" s="112" t="s">
        <v>9</v>
      </c>
      <c r="C26" s="112">
        <v>-8243</v>
      </c>
      <c r="D26" s="112">
        <v>-1157</v>
      </c>
      <c r="E26" s="112" t="s">
        <v>19</v>
      </c>
      <c r="F26" s="113"/>
      <c r="G26" s="112">
        <v>-9400</v>
      </c>
      <c r="H26" t="s">
        <v>350</v>
      </c>
      <c r="I26" s="28"/>
      <c r="J26" s="28">
        <v>-138285.46168000001</v>
      </c>
      <c r="K26" s="28">
        <v>-1157.33716</v>
      </c>
      <c r="L26" s="28"/>
      <c r="M26" s="28"/>
      <c r="N26" s="28">
        <f>SUM(I26:M26)</f>
        <v>-139442.79884</v>
      </c>
    </row>
    <row r="27" spans="1:16" ht="15" thickBot="1">
      <c r="A27" s="1" t="s">
        <v>339</v>
      </c>
      <c r="B27" s="119">
        <v>5349</v>
      </c>
      <c r="C27" s="119">
        <v>957671</v>
      </c>
      <c r="D27" s="119">
        <v>40521</v>
      </c>
      <c r="E27" s="119" t="s">
        <v>19</v>
      </c>
      <c r="F27" s="119">
        <v>101767</v>
      </c>
      <c r="G27" s="119">
        <v>1153450</v>
      </c>
      <c r="H27" t="s">
        <v>339</v>
      </c>
      <c r="I27" s="28">
        <f>SUM(I24:I26)</f>
        <v>60133.58988</v>
      </c>
      <c r="J27" s="28">
        <f>SUM(J24:J26)</f>
        <v>974387.59731999994</v>
      </c>
      <c r="K27" s="28">
        <f t="shared" ref="K27:L27" si="6">SUM(K24:K26)</f>
        <v>44921.35931</v>
      </c>
      <c r="L27" s="28">
        <f t="shared" si="6"/>
        <v>0</v>
      </c>
      <c r="M27" s="28">
        <f>SUM(M24:M26)</f>
        <v>107554.86726</v>
      </c>
      <c r="N27" s="28">
        <f>SUM(I27:M27)</f>
        <v>1186997.41377</v>
      </c>
      <c r="O27">
        <v>1058521.091</v>
      </c>
      <c r="P27" s="28">
        <f>O27-N27+128078.4</f>
        <v>-397.92276999997557</v>
      </c>
    </row>
    <row r="28" spans="1:16" ht="15" thickBot="1">
      <c r="A28" s="107" t="s">
        <v>355</v>
      </c>
      <c r="B28" s="120"/>
      <c r="C28" s="120"/>
      <c r="D28" s="120"/>
      <c r="E28" s="120"/>
      <c r="F28" s="120"/>
      <c r="G28" s="120"/>
      <c r="H28" t="s">
        <v>355</v>
      </c>
    </row>
    <row r="29" spans="1:16" ht="15.6" thickTop="1" thickBot="1">
      <c r="A29" s="1" t="s">
        <v>248</v>
      </c>
      <c r="B29" s="121">
        <v>196668</v>
      </c>
      <c r="C29" s="121">
        <v>2066621</v>
      </c>
      <c r="D29" s="121">
        <v>58309</v>
      </c>
      <c r="E29" s="121">
        <v>346100</v>
      </c>
      <c r="F29" s="121">
        <v>731346</v>
      </c>
      <c r="G29" s="121">
        <v>3399044</v>
      </c>
      <c r="H29" t="s">
        <v>248</v>
      </c>
      <c r="I29" s="28">
        <f>I13-I24</f>
        <v>196667.94442000001</v>
      </c>
      <c r="J29" s="28">
        <f t="shared" ref="J29:N29" si="7">J13-J24</f>
        <v>2066620.7256900002</v>
      </c>
      <c r="K29" s="28">
        <f t="shared" si="7"/>
        <v>58309</v>
      </c>
      <c r="L29" s="28">
        <f>L13-L24</f>
        <v>346100</v>
      </c>
      <c r="M29" s="28">
        <f t="shared" si="7"/>
        <v>731345.92229000002</v>
      </c>
      <c r="N29" s="28">
        <f t="shared" si="7"/>
        <v>3399043.5924000004</v>
      </c>
    </row>
    <row r="30" spans="1:16" ht="15.6" thickTop="1" thickBot="1">
      <c r="A30" s="1" t="s">
        <v>339</v>
      </c>
      <c r="B30" s="122">
        <v>199323</v>
      </c>
      <c r="C30" s="123">
        <v>2505393</v>
      </c>
      <c r="D30" s="124">
        <v>47939</v>
      </c>
      <c r="E30" s="125">
        <v>35419</v>
      </c>
      <c r="F30" s="124">
        <v>1044023</v>
      </c>
      <c r="G30" s="124">
        <v>3832096</v>
      </c>
      <c r="H30" t="s">
        <v>339</v>
      </c>
      <c r="I30" s="28">
        <f>I19-I27</f>
        <v>1033334.34264</v>
      </c>
      <c r="J30" s="28">
        <f t="shared" ref="J30:M30" si="8">J19-J27</f>
        <v>2398505.2073100004</v>
      </c>
      <c r="K30" s="28">
        <f t="shared" si="8"/>
        <v>43538.632559999998</v>
      </c>
      <c r="L30" s="28">
        <f t="shared" si="8"/>
        <v>87856.110450000269</v>
      </c>
      <c r="M30" s="28">
        <f t="shared" si="8"/>
        <v>1042830.5702899999</v>
      </c>
      <c r="N30" s="28">
        <f>N19-N27</f>
        <v>4606064.8632500004</v>
      </c>
    </row>
    <row r="31" spans="1:16" ht="15" thickTop="1"/>
  </sheetData>
  <mergeCells count="4">
    <mergeCell ref="B3:B5"/>
    <mergeCell ref="E3:E5"/>
    <mergeCell ref="A10:A11"/>
    <mergeCell ref="A16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ОФП</vt:lpstr>
      <vt:lpstr>ОДР и ПСД</vt:lpstr>
      <vt:lpstr>ОДДС-К</vt:lpstr>
      <vt:lpstr>ОДДС_К</vt:lpstr>
      <vt:lpstr>Ф.3-ДДС-П</vt:lpstr>
      <vt:lpstr>ОИК</vt:lpstr>
      <vt:lpstr>ОС</vt:lpstr>
      <vt:lpstr>ОС!_bookmark10</vt:lpstr>
      <vt:lpstr>ОС!_Hlk104297275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Aliya Kustanova</cp:lastModifiedBy>
  <cp:lastPrinted>2023-07-10T03:58:13Z</cp:lastPrinted>
  <dcterms:created xsi:type="dcterms:W3CDTF">2021-08-20T06:10:20Z</dcterms:created>
  <dcterms:modified xsi:type="dcterms:W3CDTF">2023-08-18T10:41:11Z</dcterms:modified>
</cp:coreProperties>
</file>