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4capital-my.sharepoint.com/personal/aliya_kustanova_e4-capital_kz/Documents/Рабочий стол/Desktop/Фин. отчетность/2022/2кв.2022/"/>
    </mc:Choice>
  </mc:AlternateContent>
  <xr:revisionPtr revIDLastSave="1121" documentId="8_{3C037264-8F64-407C-8EF7-B627F3B4D969}" xr6:coauthVersionLast="47" xr6:coauthVersionMax="47" xr10:uidLastSave="{18F39576-C530-45D4-8AAC-697DAE2CB40B}"/>
  <bookViews>
    <workbookView xWindow="-108" yWindow="-108" windowWidth="23256" windowHeight="12576" tabRatio="574" firstSheet="1" activeTab="1" xr2:uid="{7A91306D-1A52-4F02-891D-526B79E580FC}"/>
  </bookViews>
  <sheets>
    <sheet name="ОСВ" sheetId="8" state="hidden" r:id="rId1"/>
    <sheet name="ОФП" sheetId="2" r:id="rId2"/>
    <sheet name="ОДР и ПСД" sheetId="1" r:id="rId3"/>
    <sheet name="ОДДС-К" sheetId="3" state="hidden" r:id="rId4"/>
    <sheet name="ОДДС_К" sheetId="5" r:id="rId5"/>
    <sheet name="Ф.3-ДДС-П" sheetId="7" state="hidden" r:id="rId6"/>
    <sheet name="ОИК" sheetId="4" r:id="rId7"/>
    <sheet name="CF-21_1пг.22" sheetId="9" state="hidden" r:id="rId8"/>
  </sheets>
  <definedNames>
    <definedName name="AS2DocOpenMode" hidden="1">"AS2DocumentEdit"</definedName>
    <definedName name="AS2HasNoAutoHeaderFooter" hidden="1">" "</definedName>
    <definedName name="_xlnm.Print_Area" localSheetId="5">'Ф.3-ДДС-П'!$A$1:$D$97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U5" i="9" s="1"/>
  <c r="N47" i="8"/>
  <c r="C57" i="9"/>
  <c r="C45" i="5"/>
  <c r="C39" i="5"/>
  <c r="C33" i="5"/>
  <c r="C34" i="5"/>
  <c r="C32" i="5"/>
  <c r="C31" i="5"/>
  <c r="C26" i="5"/>
  <c r="C25" i="5"/>
  <c r="C22" i="5"/>
  <c r="C21" i="5"/>
  <c r="C20" i="5"/>
  <c r="C19" i="5"/>
  <c r="C18" i="5"/>
  <c r="C13" i="5"/>
  <c r="C11" i="5"/>
  <c r="C10" i="5"/>
  <c r="C9" i="5"/>
  <c r="C7" i="5"/>
  <c r="C38" i="9"/>
  <c r="T19" i="9"/>
  <c r="C19" i="9" s="1"/>
  <c r="C60" i="9"/>
  <c r="N2" i="9"/>
  <c r="M33" i="9"/>
  <c r="M28" i="9"/>
  <c r="L30" i="9"/>
  <c r="K27" i="9"/>
  <c r="I44" i="9"/>
  <c r="H20" i="9"/>
  <c r="F38" i="9"/>
  <c r="F20" i="9"/>
  <c r="E40" i="9"/>
  <c r="E20" i="9"/>
  <c r="J26" i="9"/>
  <c r="F128" i="5"/>
  <c r="N24" i="9" s="1"/>
  <c r="C24" i="9" s="1"/>
  <c r="C15" i="5" s="1"/>
  <c r="C43" i="5" s="1"/>
  <c r="F23" i="9"/>
  <c r="G20" i="9"/>
  <c r="U19" i="9"/>
  <c r="F15" i="1"/>
  <c r="G15" i="1"/>
  <c r="M18" i="9"/>
  <c r="C18" i="9" s="1"/>
  <c r="R16" i="9"/>
  <c r="C16" i="9" s="1"/>
  <c r="U4" i="9"/>
  <c r="Y5" i="9"/>
  <c r="Y4" i="9"/>
  <c r="X5" i="9"/>
  <c r="X4" i="9"/>
  <c r="W5" i="9"/>
  <c r="W4" i="9"/>
  <c r="V5" i="9"/>
  <c r="V4" i="9"/>
  <c r="T4" i="9"/>
  <c r="T5" i="9"/>
  <c r="R5" i="9"/>
  <c r="R4" i="9"/>
  <c r="O5" i="9"/>
  <c r="O4" i="9"/>
  <c r="N5" i="9"/>
  <c r="N4" i="9"/>
  <c r="M4" i="9"/>
  <c r="M5" i="9"/>
  <c r="L5" i="9"/>
  <c r="K5" i="9"/>
  <c r="C23" i="1"/>
  <c r="C42" i="5" l="1"/>
  <c r="C20" i="9"/>
  <c r="J5" i="9"/>
  <c r="J4" i="9"/>
  <c r="I5" i="9"/>
  <c r="I4" i="9"/>
  <c r="I6" i="9" s="1"/>
  <c r="I2" i="9" s="1"/>
  <c r="H5" i="9"/>
  <c r="H4" i="9"/>
  <c r="G5" i="9"/>
  <c r="G4" i="9"/>
  <c r="F5" i="9"/>
  <c r="F4" i="9"/>
  <c r="E4" i="9"/>
  <c r="E5" i="9"/>
  <c r="C65" i="9"/>
  <c r="C64" i="9"/>
  <c r="C63" i="9"/>
  <c r="C62" i="9"/>
  <c r="C58" i="9"/>
  <c r="C55" i="9"/>
  <c r="C54" i="9"/>
  <c r="C53" i="9"/>
  <c r="C52" i="9"/>
  <c r="C51" i="9"/>
  <c r="C47" i="9"/>
  <c r="C46" i="9"/>
  <c r="C45" i="9"/>
  <c r="C44" i="9"/>
  <c r="C43" i="9"/>
  <c r="C42" i="9"/>
  <c r="C41" i="9"/>
  <c r="C40" i="9"/>
  <c r="C39" i="9"/>
  <c r="C34" i="9"/>
  <c r="C33" i="9"/>
  <c r="C31" i="9"/>
  <c r="C30" i="9"/>
  <c r="C29" i="9"/>
  <c r="C28" i="9"/>
  <c r="C27" i="9"/>
  <c r="C26" i="9"/>
  <c r="C23" i="9"/>
  <c r="C22" i="9"/>
  <c r="C21" i="9"/>
  <c r="C17" i="9"/>
  <c r="Y6" i="9"/>
  <c r="Y2" i="9" s="1"/>
  <c r="X6" i="9"/>
  <c r="X2" i="9" s="1"/>
  <c r="W6" i="9"/>
  <c r="W2" i="9" s="1"/>
  <c r="V6" i="9"/>
  <c r="V2" i="9" s="1"/>
  <c r="U6" i="9"/>
  <c r="U2" i="9" s="1"/>
  <c r="T6" i="9"/>
  <c r="T2" i="9" s="1"/>
  <c r="S6" i="9"/>
  <c r="S2" i="9" s="1"/>
  <c r="R6" i="9"/>
  <c r="R2" i="9" s="1"/>
  <c r="Q6" i="9"/>
  <c r="P6" i="9"/>
  <c r="P2" i="9" s="1"/>
  <c r="O6" i="9"/>
  <c r="O2" i="9" s="1"/>
  <c r="N6" i="9"/>
  <c r="M6" i="9"/>
  <c r="L6" i="9"/>
  <c r="L2" i="9" s="1"/>
  <c r="K6" i="9"/>
  <c r="K2" i="9" s="1"/>
  <c r="J6" i="9"/>
  <c r="J2" i="9" s="1"/>
  <c r="G6" i="9"/>
  <c r="G2" i="9" s="1"/>
  <c r="F6" i="9"/>
  <c r="F2" i="9" s="1"/>
  <c r="Q2" i="9"/>
  <c r="C25" i="9" l="1"/>
  <c r="C32" i="9" s="1"/>
  <c r="C35" i="9" s="1"/>
  <c r="E6" i="9"/>
  <c r="E2" i="9" s="1"/>
  <c r="H6" i="9"/>
  <c r="H2" i="9" s="1"/>
  <c r="C48" i="9"/>
  <c r="M2" i="9"/>
  <c r="C56" i="9"/>
  <c r="C2" i="9" l="1"/>
  <c r="D10" i="4"/>
  <c r="D13" i="1"/>
  <c r="D17" i="1" s="1"/>
  <c r="D14" i="1"/>
  <c r="C6" i="1" l="1"/>
  <c r="F28" i="2"/>
  <c r="O47" i="8" l="1"/>
  <c r="N147" i="8" l="1"/>
  <c r="C11" i="1" s="1"/>
  <c r="F26" i="2"/>
  <c r="C18" i="1"/>
  <c r="C16" i="1"/>
  <c r="C15" i="1"/>
  <c r="C14" i="1"/>
  <c r="C10" i="1"/>
  <c r="C9" i="1"/>
  <c r="C8" i="1"/>
  <c r="C5" i="1"/>
  <c r="N154" i="8"/>
  <c r="N152" i="8"/>
  <c r="N139" i="8"/>
  <c r="Z170" i="8"/>
  <c r="N150" i="8"/>
  <c r="N149" i="8"/>
  <c r="N138" i="8"/>
  <c r="N145" i="8"/>
  <c r="N143" i="8"/>
  <c r="N141" i="8"/>
  <c r="N12" i="8" l="1"/>
  <c r="N11" i="8"/>
  <c r="O12" i="8"/>
  <c r="O14" i="8" s="1"/>
  <c r="O11" i="8"/>
  <c r="O83" i="8"/>
  <c r="P83" i="8" s="1"/>
  <c r="N80" i="8"/>
  <c r="O80" i="8"/>
  <c r="N62" i="8"/>
  <c r="P29" i="8"/>
  <c r="P47" i="8"/>
  <c r="P132" i="8"/>
  <c r="P128" i="8"/>
  <c r="P126" i="8"/>
  <c r="P124" i="8"/>
  <c r="P122" i="8"/>
  <c r="P119" i="8"/>
  <c r="P116" i="8"/>
  <c r="P107" i="8"/>
  <c r="P82" i="8"/>
  <c r="P70" i="8"/>
  <c r="P68" i="8"/>
  <c r="P20" i="8"/>
  <c r="P18" i="8"/>
  <c r="P17" i="8"/>
  <c r="O132" i="8"/>
  <c r="O128" i="8"/>
  <c r="O126" i="8"/>
  <c r="O124" i="8"/>
  <c r="O122" i="8"/>
  <c r="O119" i="8"/>
  <c r="O116" i="8"/>
  <c r="O107" i="8"/>
  <c r="N107" i="8"/>
  <c r="P63" i="8"/>
  <c r="P62" i="8"/>
  <c r="O38" i="8"/>
  <c r="N38" i="8"/>
  <c r="O29" i="8"/>
  <c r="O20" i="8"/>
  <c r="N20" i="8"/>
  <c r="O18" i="8"/>
  <c r="O17" i="8"/>
  <c r="N17" i="8"/>
  <c r="O82" i="8"/>
  <c r="O62" i="8"/>
  <c r="N63" i="8"/>
  <c r="O70" i="8"/>
  <c r="O68" i="8"/>
  <c r="N68" i="8"/>
  <c r="O63" i="8"/>
  <c r="N18" i="8"/>
  <c r="N82" i="8"/>
  <c r="N83" i="8"/>
  <c r="N116" i="8"/>
  <c r="N119" i="8"/>
  <c r="N122" i="8"/>
  <c r="N126" i="8"/>
  <c r="N132" i="8"/>
  <c r="C38" i="2"/>
  <c r="C37" i="2"/>
  <c r="C36" i="2"/>
  <c r="C35" i="2"/>
  <c r="C34" i="2"/>
  <c r="C31" i="2"/>
  <c r="N124" i="8"/>
  <c r="C29" i="2"/>
  <c r="C26" i="2"/>
  <c r="C25" i="2"/>
  <c r="N128" i="8"/>
  <c r="C19" i="2"/>
  <c r="C20" i="2"/>
  <c r="C18" i="2"/>
  <c r="C16" i="2"/>
  <c r="N29" i="8"/>
  <c r="C13" i="2"/>
  <c r="C10" i="2"/>
  <c r="C9" i="2"/>
  <c r="C8" i="2"/>
  <c r="C7" i="2"/>
  <c r="N70" i="8"/>
  <c r="C17" i="2" l="1"/>
  <c r="C21" i="2" s="1"/>
  <c r="D43" i="2" l="1"/>
  <c r="C11" i="4" l="1"/>
  <c r="D90" i="7"/>
  <c r="D57" i="7"/>
  <c r="D22" i="7"/>
  <c r="C89" i="7"/>
  <c r="D78" i="7"/>
  <c r="D85" i="7" s="1"/>
  <c r="C78" i="7"/>
  <c r="D72" i="7"/>
  <c r="C72" i="7"/>
  <c r="C63" i="7"/>
  <c r="C55" i="7" s="1"/>
  <c r="C57" i="7"/>
  <c r="D55" i="7"/>
  <c r="D41" i="7"/>
  <c r="C41" i="7"/>
  <c r="C38" i="7"/>
  <c r="C37" i="7"/>
  <c r="C34" i="7"/>
  <c r="C33" i="7"/>
  <c r="C32" i="7"/>
  <c r="D30" i="7"/>
  <c r="C29" i="7"/>
  <c r="C28" i="7"/>
  <c r="C26" i="7"/>
  <c r="C24" i="7"/>
  <c r="C30" i="7" l="1"/>
  <c r="C22" i="7"/>
  <c r="C39" i="7" s="1"/>
  <c r="C88" i="7" s="1"/>
  <c r="C90" i="7" s="1"/>
  <c r="D39" i="7"/>
  <c r="C70" i="7"/>
  <c r="C85" i="7"/>
  <c r="D70" i="7"/>
  <c r="D88" i="7" l="1"/>
  <c r="C39" i="2" l="1"/>
  <c r="C35" i="5" l="1"/>
  <c r="D40" i="5"/>
  <c r="C40" i="5"/>
  <c r="D35" i="5"/>
  <c r="D17" i="5"/>
  <c r="D24" i="5" s="1"/>
  <c r="D28" i="5" s="1"/>
  <c r="D42" i="5" s="1"/>
  <c r="C31" i="3"/>
  <c r="C21" i="3"/>
  <c r="C32" i="3"/>
  <c r="C34" i="3"/>
  <c r="C35" i="3"/>
  <c r="K31" i="3"/>
  <c r="C19" i="3"/>
  <c r="C18" i="3"/>
  <c r="D7" i="1"/>
  <c r="D19" i="1" l="1"/>
  <c r="D21" i="1" s="1"/>
  <c r="D23" i="1" s="1"/>
  <c r="D45" i="5"/>
  <c r="C22" i="3"/>
  <c r="C33" i="3"/>
  <c r="J27" i="3"/>
  <c r="C25" i="3" s="1"/>
  <c r="J22" i="3"/>
  <c r="C15" i="3" s="1"/>
  <c r="C43" i="3" s="1"/>
  <c r="K21" i="3"/>
  <c r="J21" i="3"/>
  <c r="J15" i="3" l="1"/>
  <c r="C11" i="3" s="1"/>
  <c r="C20" i="3" l="1"/>
  <c r="C14" i="2" l="1"/>
  <c r="C22" i="2" s="1"/>
  <c r="D14" i="2"/>
  <c r="D21" i="2"/>
  <c r="C27" i="2"/>
  <c r="D27" i="2"/>
  <c r="D41" i="2" s="1"/>
  <c r="C32" i="2"/>
  <c r="C40" i="2" s="1"/>
  <c r="D32" i="2"/>
  <c r="D39" i="2"/>
  <c r="C43" i="2" l="1"/>
  <c r="C41" i="2"/>
  <c r="C42" i="2" s="1"/>
  <c r="D22" i="2"/>
  <c r="D17" i="3" l="1"/>
  <c r="D24" i="3" s="1"/>
  <c r="D28" i="3" s="1"/>
  <c r="C40" i="3"/>
  <c r="D40" i="3"/>
  <c r="D35" i="3"/>
  <c r="C10" i="3"/>
  <c r="C9" i="3"/>
  <c r="D42" i="3" l="1"/>
  <c r="D45" i="3"/>
  <c r="C44" i="3" s="1"/>
  <c r="E8" i="4" l="1"/>
  <c r="C7" i="1"/>
  <c r="C13" i="1" s="1"/>
  <c r="C17" i="1" s="1"/>
  <c r="C17" i="5" l="1"/>
  <c r="C24" i="5" s="1"/>
  <c r="C28" i="5" s="1"/>
  <c r="C19" i="1"/>
  <c r="C21" i="1" s="1"/>
  <c r="C7" i="3"/>
  <c r="C17" i="3" s="1"/>
  <c r="C24" i="3" s="1"/>
  <c r="C28" i="3" s="1"/>
  <c r="C42" i="3" s="1"/>
  <c r="C45" i="3" s="1"/>
  <c r="F27" i="2" l="1"/>
  <c r="F29" i="2" s="1"/>
  <c r="E10" i="4" l="1"/>
  <c r="E11" i="4" s="1"/>
  <c r="D11" i="4"/>
  <c r="C7" i="4"/>
  <c r="D7" i="4"/>
  <c r="E7" i="4"/>
</calcChain>
</file>

<file path=xl/sharedStrings.xml><?xml version="1.0" encoding="utf-8"?>
<sst xmlns="http://schemas.openxmlformats.org/spreadsheetml/2006/main" count="1006" uniqueCount="655">
  <si>
    <t>тыс. тенге (если не указано иное)</t>
  </si>
  <si>
    <t>Прим.</t>
  </si>
  <si>
    <t>Доходы от реализации</t>
  </si>
  <si>
    <t>Себестоимость реализации</t>
  </si>
  <si>
    <t>Валовой доход</t>
  </si>
  <si>
    <t>Расходы по реализации</t>
  </si>
  <si>
    <t>Общеадминистративные расходы</t>
  </si>
  <si>
    <t>Прочие операционные расходы, нетто</t>
  </si>
  <si>
    <t>Убытки от обесценения</t>
  </si>
  <si>
    <t>-</t>
  </si>
  <si>
    <t>Операционный доход (убыток)</t>
  </si>
  <si>
    <t>Финансовые доходы</t>
  </si>
  <si>
    <t>9(а)</t>
  </si>
  <si>
    <t>Финансовые расходы</t>
  </si>
  <si>
    <t>9(б)</t>
  </si>
  <si>
    <t>Доход (убыток) до налогообложения</t>
  </si>
  <si>
    <t>(Расходы) экономия по подоходному налогу</t>
  </si>
  <si>
    <t>10(а)</t>
  </si>
  <si>
    <t>Чистый доход (убыток) за полугодие</t>
  </si>
  <si>
    <t>Прочий совокупный доход</t>
  </si>
  <si>
    <t>–</t>
  </si>
  <si>
    <t>Общий совокупный доход (убыток) за полугодие</t>
  </si>
  <si>
    <t>Базовый и разводненный доход (убыток) на акцию, тенге</t>
  </si>
  <si>
    <t>18(б)</t>
  </si>
  <si>
    <t xml:space="preserve">      _______________________________________                             ______________________________________________</t>
  </si>
  <si>
    <t xml:space="preserve">  </t>
  </si>
  <si>
    <t xml:space="preserve">     Акжолов Б.Ж.</t>
  </si>
  <si>
    <t xml:space="preserve">            Кустанова А.Е.</t>
  </si>
  <si>
    <t xml:space="preserve">     Генеральный директор</t>
  </si>
  <si>
    <t xml:space="preserve">            Главный бухгалтер</t>
  </si>
  <si>
    <t xml:space="preserve">     АО «Горнорудная Компания «Бенкала»                                          АО «Горнорудная Компания «Бенкала»</t>
  </si>
  <si>
    <t>АКТИВЫ</t>
  </si>
  <si>
    <t>Внеоборотные активы</t>
  </si>
  <si>
    <t>Основные средства</t>
  </si>
  <si>
    <t>Актив в форме права пользования</t>
  </si>
  <si>
    <t>20(а)</t>
  </si>
  <si>
    <t>Горнодобывающие активы</t>
  </si>
  <si>
    <t>Нематериальные активы</t>
  </si>
  <si>
    <t>Отложенный налоговый актив</t>
  </si>
  <si>
    <t>10(б)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</si>
  <si>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</si>
  <si>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</si>
  <si>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</si>
  <si>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</si>
  <si>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Предоплата по подоходному налогу</t>
  </si>
  <si>
    <t>Торговая и прочая дебиторская задолженность</t>
  </si>
  <si>
    <t>Денежные средства</t>
  </si>
  <si>
    <t>ВСЕГО АКТИВЫ</t>
  </si>
  <si>
    <t>КАПИТАЛ И ОБЯЗАТЕЛЬСТВА</t>
  </si>
  <si>
    <t>Капитал</t>
  </si>
  <si>
    <t>Акционерный капитал</t>
  </si>
  <si>
    <t>18(а)</t>
  </si>
  <si>
    <t>Нераспределенный доход (непокрытый убыток)</t>
  </si>
  <si>
    <t>Долгосрочные обязательства</t>
  </si>
  <si>
    <t>Обязательства по контрактам на недропользование</t>
  </si>
  <si>
    <t>Арендные обязательства</t>
  </si>
  <si>
    <t>20(б)</t>
  </si>
  <si>
    <t>Отложенное налоговое обязательство</t>
  </si>
  <si>
    <t>Текущие обязательства</t>
  </si>
  <si>
    <t>Подоходный налог к уплате</t>
  </si>
  <si>
    <t>Торговая и прочая кредиторская задолженность</t>
  </si>
  <si>
    <t>Прочие налоги к уплате</t>
  </si>
  <si>
    <t>ИТОГО ОБЯЗАТЕЛЬСТВА</t>
  </si>
  <si>
    <t>ВСЕГО КАПИТАЛ И ОБЯЗАТЕЛЬСТВА</t>
  </si>
  <si>
    <t>Балансовая стоимость акции, тенге</t>
  </si>
  <si>
    <t>18(в)</t>
  </si>
  <si>
    <t>Долгосрочная торговая и прочая дебиторская задолженность</t>
  </si>
  <si>
    <t>тыс. тенге</t>
  </si>
  <si>
    <t>ОПЕРАЦИОННАЯ ДЕЯТЕЛЬНОСТЬ</t>
  </si>
  <si>
    <t>Корректировки:</t>
  </si>
  <si>
    <t>Износ, истощение и амортизация</t>
  </si>
  <si>
    <t>Убыток от выбытия основных средств</t>
  </si>
  <si>
    <t>Нереализованный доход от курсовой разницы</t>
  </si>
  <si>
    <t>Движение денежных средств от операционной деятельности до изменений оборотного капитала</t>
  </si>
  <si>
    <t>Увеличение товарно-материальных запасов</t>
  </si>
  <si>
    <t>Увеличение авансов выданных и прочих текущих активов</t>
  </si>
  <si>
    <t>Увеличение торговой и прочей дебиторской задолженности</t>
  </si>
  <si>
    <t>Увеличение прочих налогов к уплате</t>
  </si>
  <si>
    <t>Денежные средства от операционной деятельности до получения процентов и уплаты подоходного налога</t>
  </si>
  <si>
    <t>Проценты полученные</t>
  </si>
  <si>
    <t>Подоходный налог уплаченный</t>
  </si>
  <si>
    <t>Чистые денежные средства (использованные в)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</si>
  <si>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</si>
  <si>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</si>
  <si>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</si>
  <si>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Пополнение ликвидационного фонда</t>
  </si>
  <si>
    <t>Платежи по контракту на недропользование</t>
  </si>
  <si>
    <t>Чистые денежные средства использованные в инвестиционной деятельности</t>
  </si>
  <si>
    <t>ФИНАНСОВАЯ ДЕЯТЕЛЬНОСТЬ</t>
  </si>
  <si>
    <t>Взносы в акционерный капитал</t>
  </si>
  <si>
    <t>Арендные платежи</t>
  </si>
  <si>
    <t>Чистые денежные средства от финансовой деятельности</t>
  </si>
  <si>
    <t>Чистое увеличение денежных средств</t>
  </si>
  <si>
    <t>Эффект изменения обменного курса на денежные средства</t>
  </si>
  <si>
    <t>Денежные средства на начало периода</t>
  </si>
  <si>
    <t>Денежные средства на конец периода</t>
  </si>
  <si>
    <t>Неденежные операции</t>
  </si>
  <si>
    <t>Признание обязательств по контрактным обязательствам</t>
  </si>
  <si>
    <t>Изменение оценок по контрактным обязательствам</t>
  </si>
  <si>
    <t>Признание обязательств по аренде</t>
  </si>
  <si>
    <t>Изменение оценок по аренде</t>
  </si>
  <si>
    <t>Удержание налога у источника выплаты с процентов полученных</t>
  </si>
  <si>
    <t>Вознаграждения работникам</t>
  </si>
  <si>
    <t>Изменения в торговой и прочей кредиторской задолженности</t>
  </si>
  <si>
    <t>Итого</t>
  </si>
  <si>
    <t>Чистый доход за год</t>
  </si>
  <si>
    <t>На 31 декабря 2020</t>
  </si>
  <si>
    <t>(Непокрытый убыток) нераспреде-ленный доход</t>
  </si>
  <si>
    <t>Аморт.ИИ</t>
  </si>
  <si>
    <t>Аморт.ОС</t>
  </si>
  <si>
    <t>Аморт Права</t>
  </si>
  <si>
    <t>Аморт.НМА</t>
  </si>
  <si>
    <t>Расчет амортизации</t>
  </si>
  <si>
    <t>Расчет нереализованной курсовой разницы</t>
  </si>
  <si>
    <t>Доход</t>
  </si>
  <si>
    <t>Убыток</t>
  </si>
  <si>
    <t>тенге</t>
  </si>
  <si>
    <t>Нереализ.доход</t>
  </si>
  <si>
    <t>% полученные</t>
  </si>
  <si>
    <t>Расшифровки</t>
  </si>
  <si>
    <t>Приобретение ФА</t>
  </si>
  <si>
    <t>ОС</t>
  </si>
  <si>
    <t>НМА</t>
  </si>
  <si>
    <t>НЗС</t>
  </si>
  <si>
    <t>Пополнение ЛФ</t>
  </si>
  <si>
    <t xml:space="preserve">АО "Горнорудная Компания "Бенкала"  </t>
  </si>
  <si>
    <t>3310 без НДС</t>
  </si>
  <si>
    <t>Приложение 4</t>
  </si>
  <si>
    <t>к приказу Министра финансов</t>
  </si>
  <si>
    <t>Республики Казахстан</t>
  </si>
  <si>
    <t>от 28 июня 2017 года № 404</t>
  </si>
  <si>
    <t>Форма</t>
  </si>
  <si>
    <t>Отчет о движении денежных средств (прямой метод)</t>
  </si>
  <si>
    <t>Индекс: № 3 - ДДС-П</t>
  </si>
  <si>
    <t>Периодичность: годовая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</si>
  <si>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</si>
  <si>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</si>
  <si>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</si>
  <si>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«Отчет о движении денежных средств (прямой метод)»</t>
  </si>
  <si>
    <t>в тысячах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</si>
  <si>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</si>
  <si>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</si>
  <si>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</si>
  <si>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</si>
  <si>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</si>
  <si>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</si>
  <si>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</si>
  <si>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</si>
  <si>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</si>
  <si>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</si>
  <si>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</si>
  <si>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</si>
  <si>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</si>
  <si>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</si>
  <si>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</si>
  <si>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</si>
  <si>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</si>
  <si>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</si>
  <si>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</si>
  <si>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</si>
  <si>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</si>
  <si>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</si>
  <si>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</si>
  <si>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</si>
  <si>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</si>
  <si>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</si>
  <si>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</si>
  <si>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</si>
  <si>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</si>
  <si>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</si>
  <si>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</si>
  <si>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</si>
  <si>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</si>
  <si>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</si>
  <si>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</si>
  <si>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</si>
  <si>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</si>
  <si>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</si>
  <si>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</si>
  <si>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</si>
  <si>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</si>
  <si>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</si>
  <si>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</si>
  <si>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</si>
  <si>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</si>
  <si>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</si>
  <si>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</si>
  <si>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</si>
  <si>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</si>
  <si>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</si>
  <si>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</si>
  <si>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</si>
  <si>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</si>
  <si>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изъятие денежных вкладов</t>
  </si>
  <si>
    <t>047</t>
  </si>
  <si>
    <t>реализация прочих финансовых активов</t>
  </si>
  <si>
    <t>048</t>
  </si>
  <si>
    <t>фьючерсные и форвардные контракты, опционы и свопы</t>
  </si>
  <si>
    <t>049</t>
  </si>
  <si>
    <t>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</si>
  <si>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</si>
  <si>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</si>
  <si>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</si>
  <si>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</si>
  <si>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</si>
  <si>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</si>
  <si>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</si>
  <si>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</si>
  <si>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</si>
  <si>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</si>
  <si>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</si>
  <si>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</si>
  <si>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</si>
  <si>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</si>
  <si>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</si>
  <si>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</si>
  <si>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</si>
  <si>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денежных вкладов</t>
  </si>
  <si>
    <t>067</t>
  </si>
  <si>
    <t>068</t>
  </si>
  <si>
    <t>приобретение прочих финансовых активов</t>
  </si>
  <si>
    <t>069</t>
  </si>
  <si>
    <t>предоставление займов</t>
  </si>
  <si>
    <t>070</t>
  </si>
  <si>
    <t>071</t>
  </si>
  <si>
    <t>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</si>
  <si>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</si>
  <si>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</si>
  <si>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</si>
  <si>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</si>
  <si>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</si>
  <si>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</si>
  <si>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</si>
  <si>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</si>
  <si>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</si>
  <si>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</si>
  <si>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</si>
  <si>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</si>
  <si>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</si>
  <si>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</si>
  <si>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</si>
  <si>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</si>
  <si>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</si>
  <si>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</si>
  <si>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</si>
  <si>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</si>
  <si>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</si>
  <si>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</si>
  <si>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</si>
  <si>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</si>
  <si>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                                          (фамилия, имя, отчество (при его наличии))                           (подпись)</t>
  </si>
  <si>
    <t>                                                   (фамилия, имя, отчество (при его наличии))                   (подпись)</t>
  </si>
  <si>
    <t>Место печати (при наличии)</t>
  </si>
  <si>
    <t>Отчет о движении денежных средств                                                                                                                                              за период,   закончившийся 31 марта 2022 года</t>
  </si>
  <si>
    <t>На 31 декабря 2021</t>
  </si>
  <si>
    <t>Прочие операционные доходы, нетто</t>
  </si>
  <si>
    <t>за период, заканчивающийся 31 марта 2022 года</t>
  </si>
  <si>
    <t>отчетный период за 1 кв. 2022 год</t>
  </si>
  <si>
    <t>долгоср.фин.актив</t>
  </si>
  <si>
    <t>Чистый доход за период</t>
  </si>
  <si>
    <t>Наименование организации АО "Горнорудная Компания "Бенкала"</t>
  </si>
  <si>
    <t>Руководитель ___________Акжолов Б.Ж.________________________________ _____________</t>
  </si>
  <si>
    <t>Главный бухгалтер _____________Кустанова А.Е.________________________ _____________</t>
  </si>
  <si>
    <t>Признание обязательств по контракту на недропользование</t>
  </si>
  <si>
    <t>(Нереализованный убыток (доход) от курсовой разницы</t>
  </si>
  <si>
    <t xml:space="preserve"> Отчет о финансовом положении                                                                                                                                               за период, закончившийся 30 июня 2022 года</t>
  </si>
  <si>
    <t>АО «Горнорудная Компания «Бенкала»</t>
  </si>
  <si>
    <t>Оборотно-сальдовая ведомость за 1 полугодие 2022 г.</t>
  </si>
  <si>
    <t>Выводимые данные:</t>
  </si>
  <si>
    <t>БУ (данные бухгалтерского учета)</t>
  </si>
  <si>
    <t>Параметры:</t>
  </si>
  <si>
    <t>Валюта БУ, НУ: KZT</t>
  </si>
  <si>
    <t>Счет, Наименование счета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</si>
  <si>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</si>
  <si>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</si>
  <si>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</si>
  <si>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</si>
  <si>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</si>
  <si>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1, Краткосрочные активы</t>
  </si>
  <si>
    <t>1000, Денежные средства</t>
  </si>
  <si>
    <t>1020, Денежные средства в пути</t>
  </si>
  <si>
    <t>1021, Денежные средства в пути (расчетные счета)</t>
  </si>
  <si>
    <t>1022, Денежные средства в пути конвертация валюты</t>
  </si>
  <si>
    <t>1030, Денежные средства на текущих банковских счетах</t>
  </si>
  <si>
    <t>1050, Денежные средства на сберегательных счетах</t>
  </si>
  <si>
    <t>1060, Денежные средства, ограниченные в использовании</t>
  </si>
  <si>
    <t>1090, Оценочный резерв под убытки от обесценения денежных средств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</si>
  <si>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</si>
  <si>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</si>
  <si>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1250, Краткосрочная дебиторская задолженность работников</t>
  </si>
  <si>
    <t>1251, Краткосрочная задолженность подотчетных лиц</t>
  </si>
  <si>
    <t>1255, Прочая краткосрочная задолженность работников</t>
  </si>
  <si>
    <t>1270, Прочая краткосрочная дебиторская задолженность</t>
  </si>
  <si>
    <t>1271, Краткосрочная задолженность по возвратам и претензиям поставщикам</t>
  </si>
  <si>
    <t>1274, Прочая краткосрочная дебиторская задолженность</t>
  </si>
  <si>
    <t>1280, Оценочный резерв под убытки от обесценения краткосрочной дебиторской задолженности</t>
  </si>
  <si>
    <t>1300, Запасы</t>
  </si>
  <si>
    <t>1310, Сырье и материалы</t>
  </si>
  <si>
    <t>1320, Готовая продукция</t>
  </si>
  <si>
    <t>1330, Товары</t>
  </si>
  <si>
    <t>1350, Прочие запасы</t>
  </si>
  <si>
    <t>1354, Специальная оснастка, специальная одежда и инвентарь в эксплуатации</t>
  </si>
  <si>
    <t>1354.1, Специальная одежда в эксплуатации</t>
  </si>
  <si>
    <t>1400, Текущие налоговые активы</t>
  </si>
  <si>
    <t>1410, Корпоративный подоходный налог</t>
  </si>
  <si>
    <t>1412, Корпоративный подоходный налог у источника выплаты</t>
  </si>
  <si>
    <t>1420, Налог на добавленную стоимость</t>
  </si>
  <si>
    <t>1421, Налог на добавленную стоимость к возмещению</t>
  </si>
  <si>
    <t>1423, Отложенные обязательства по НДС</t>
  </si>
  <si>
    <t xml:space="preserve">1423.1, НДС, начисленный при покупке </t>
  </si>
  <si>
    <t>1423.2, НДС, уплаченный при ввозе товаров на территорию Республики Казахстан</t>
  </si>
  <si>
    <t>1423.3, НДС, уплачиваемый при импорте из стран ЕАЭС</t>
  </si>
  <si>
    <t>1423.5, НДС, уплаченный налоговым агентом</t>
  </si>
  <si>
    <t>1430, Прочие налоги и другие обязательные платежи в бюджет</t>
  </si>
  <si>
    <t>1700, Прочие краткосрочные активы</t>
  </si>
  <si>
    <t>1710, Краткосрочные авансы выданные</t>
  </si>
  <si>
    <t>1720, Расходы будущих периодов</t>
  </si>
  <si>
    <t>1740, Оценочный резерв под убытки от обесценения краткосрочных активов по договорам</t>
  </si>
  <si>
    <t>2, Долгосрочные активы</t>
  </si>
  <si>
    <t>2000, Долгосрочные финансовые активы</t>
  </si>
  <si>
    <t>2050, Долгосрочные вознаграждения к получению</t>
  </si>
  <si>
    <t>2051, Долгосрочные вознаграждения к получению от контрагентов</t>
  </si>
  <si>
    <t>2080, Оценочный резерв под убытки от обесценения долгосрочных финансовых активов</t>
  </si>
  <si>
    <t>2300, Инвестиционное имущество</t>
  </si>
  <si>
    <t>2310, Инвестиционное имущество</t>
  </si>
  <si>
    <t>2312, Инвестиционное имущество</t>
  </si>
  <si>
    <t>2320, Амортизация инвестиционного имущества</t>
  </si>
  <si>
    <t>2321, Амортизация инвестиционного имущества</t>
  </si>
  <si>
    <t>2400, Основные средства</t>
  </si>
  <si>
    <t>2410, Основные средства</t>
  </si>
  <si>
    <t>2411, Подготовка к вводу в эксплуатацию основных средств</t>
  </si>
  <si>
    <t>2412, Основные средства в организации</t>
  </si>
  <si>
    <t>2420, Амортизация основных средств</t>
  </si>
  <si>
    <t>2421, Амортизация основных средств</t>
  </si>
  <si>
    <t>2430, Оценочный резерв под убытки от обесценения основных средств</t>
  </si>
  <si>
    <t>2440, Право пользования активом</t>
  </si>
  <si>
    <t>2442, Право пользования активом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</si>
  <si>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</si>
  <si>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</si>
  <si>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</si>
  <si>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2900, Прочие долгосрочные активы</t>
  </si>
  <si>
    <t>2910, Долгосрочные авансы выданные</t>
  </si>
  <si>
    <t>2920, Расходы будущих периодов</t>
  </si>
  <si>
    <t>2930, Незавершенное строительство</t>
  </si>
  <si>
    <t>2931, Незавершенное строительство</t>
  </si>
  <si>
    <t>2932, Монтаж оборудования</t>
  </si>
  <si>
    <t>2933, Капитальный ремонт ОС</t>
  </si>
  <si>
    <t>3, Краткосрочные обязательства</t>
  </si>
  <si>
    <t>3100, Обязательства по налогам</t>
  </si>
  <si>
    <t>3110, Корпоративный подоходный налог подлежащий уплате</t>
  </si>
  <si>
    <t>3111, Корпоративный подоходный налог подлежащий уплате</t>
  </si>
  <si>
    <t>3112, Корпоративный подоходный налог подлежащий уплате у источника выплаты</t>
  </si>
  <si>
    <t>3120, Индивидуальный подоходный налог</t>
  </si>
  <si>
    <t>3130, Налог на добавленную стоимость</t>
  </si>
  <si>
    <t>3131, Налог на добавленную стоимость</t>
  </si>
  <si>
    <t>3132, НДС с особым порядком уплаты</t>
  </si>
  <si>
    <t>3132.3, НДС при импорте товаров из ЕАЭС</t>
  </si>
  <si>
    <t>3132.4, НДС при исполнении обязанностей налогового агента</t>
  </si>
  <si>
    <t>3132.5, НДС при импорте товаров</t>
  </si>
  <si>
    <t>3150, Социальный налог</t>
  </si>
  <si>
    <t>3160, Земельный налог</t>
  </si>
  <si>
    <t>3170, Налог на транспортные средства</t>
  </si>
  <si>
    <t>3180, Налог на имущество</t>
  </si>
  <si>
    <t>3190, Прочие налоги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</si>
  <si>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</si>
  <si>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</si>
  <si>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3211, Обязательства по социальному страхованию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</si>
  <si>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</si>
  <si>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</si>
  <si>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</si>
  <si>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3221, Обязательные пенсионные взносы</t>
  </si>
  <si>
    <t>3222, Обязательные профессиональные пенсионные взносы</t>
  </si>
  <si>
    <t>3230, Прочие обязательства по другим обязательным платежам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</si>
  <si>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</si>
  <si>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</si>
  <si>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</si>
  <si>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Прочая краткосрочная кредиторская задолженность</t>
  </si>
  <si>
    <t>3385, Краткосрочная задолженность по исполнительным листам</t>
  </si>
  <si>
    <t>3386, Краткосрочная задолженность перед подотчетными лицами в тенге</t>
  </si>
  <si>
    <t>3388, Прочая краткосрочная кредиторская задолженность</t>
  </si>
  <si>
    <t>3388.1, Прочая краткосрочная кредиторская задолженность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</si>
  <si>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</si>
  <si>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</si>
  <si>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3440, Прочие краткосрочные оценочные обязательства</t>
  </si>
  <si>
    <t>3500, Прочие краткосрочные обязательства</t>
  </si>
  <si>
    <t>3510, Краткосрочные авансы полученные</t>
  </si>
  <si>
    <t>3540, Краткосрочные обязательства по договорам</t>
  </si>
  <si>
    <t>4, Долгосрочные обязательства</t>
  </si>
  <si>
    <t>4200, Долгосрочные оценочные обязательства</t>
  </si>
  <si>
    <t>4240, Прочие долгосрочные оценочные обязательства</t>
  </si>
  <si>
    <t>4300, Отложенные налоговые обязательства</t>
  </si>
  <si>
    <t>4310, Отложенные налоговые обязательства по корпоративному подоходному налогу</t>
  </si>
  <si>
    <t>4400, Прочие долгосрочные обязательства</t>
  </si>
  <si>
    <t>4430, Долгосрочные обязательства по договорам</t>
  </si>
  <si>
    <t>5, Капитал и резервы</t>
  </si>
  <si>
    <t>5000, Уставный капитал</t>
  </si>
  <si>
    <t>5030, Вклады и паи</t>
  </si>
  <si>
    <t>5100, Неоплаченный капитал</t>
  </si>
  <si>
    <t>5110, Неоплаченный капитал</t>
  </si>
  <si>
    <t>5600, Нераспределенная прибыль непокрытый убыток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</si>
  <si>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</si>
  <si>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</si>
  <si>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5700, Итоговая прибыль итоговый убыток</t>
  </si>
  <si>
    <t>5710, Итоговая прибыль итоговый убыток</t>
  </si>
  <si>
    <t>6, Доходы</t>
  </si>
  <si>
    <t>6000, Доход от реализации продукции и оказания услуг</t>
  </si>
  <si>
    <t>6010, Доход от реализации продукции и оказания услуг</t>
  </si>
  <si>
    <t>6100, Доходы от финансирования</t>
  </si>
  <si>
    <t>6110, Доходы по вознаграждениям</t>
  </si>
  <si>
    <t>6200, Прочие доходы</t>
  </si>
  <si>
    <t>6210, Доходы от выбытия активов</t>
  </si>
  <si>
    <t>6250, Доходы от курсовой разницы</t>
  </si>
  <si>
    <t>6290, Прочие доходы</t>
  </si>
  <si>
    <t>7, Расходы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</si>
  <si>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</si>
  <si>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</si>
  <si>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</si>
  <si>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</si>
  <si>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</si>
  <si>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</si>
  <si>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7300, Расходы на финансирование</t>
  </si>
  <si>
    <t>7340, Прочие расходы на финансирование</t>
  </si>
  <si>
    <t>7400, Прочие расходы</t>
  </si>
  <si>
    <t>7410, Расходы по выбытию активов</t>
  </si>
  <si>
    <t>7430, Расходы по курсовой разнице</t>
  </si>
  <si>
    <t>7480, Прочие расходы</t>
  </si>
  <si>
    <t>7700, Расходы по корпоративному подоходному налогу</t>
  </si>
  <si>
    <t>7710, Расходы по корпоративному подоходному налогу</t>
  </si>
  <si>
    <t>8, Счета производственного учета</t>
  </si>
  <si>
    <t>8100, Основное производство</t>
  </si>
  <si>
    <t>8110, Основное производство</t>
  </si>
  <si>
    <t>8400, Накладные расходы</t>
  </si>
  <si>
    <t>8410, Накладные расходы</t>
  </si>
  <si>
    <t>ГДА</t>
  </si>
  <si>
    <t>Анализ субконто Основные средства за 1 полугодие 2022 г.</t>
  </si>
  <si>
    <t>Отбор:</t>
  </si>
  <si>
    <t>Основные средства Равно "Добывающий актив по контрактным обязательствам"</t>
  </si>
  <si>
    <t>Показа-
тели</t>
  </si>
  <si>
    <t>Счет</t>
  </si>
  <si>
    <t>Добывающий актив по контрактным обязательствам</t>
  </si>
  <si>
    <t>БУ</t>
  </si>
  <si>
    <t>Кол.</t>
  </si>
  <si>
    <t>2</t>
  </si>
  <si>
    <t>2400</t>
  </si>
  <si>
    <t>2410</t>
  </si>
  <si>
    <t>2412</t>
  </si>
  <si>
    <t>2420</t>
  </si>
  <si>
    <t>2421</t>
  </si>
  <si>
    <t>Право</t>
  </si>
  <si>
    <t>ДС, огранич.</t>
  </si>
  <si>
    <t>ТМЗ</t>
  </si>
  <si>
    <t>Авансы выд.+прочие тек.А</t>
  </si>
  <si>
    <t>КПН</t>
  </si>
  <si>
    <t xml:space="preserve">ДС </t>
  </si>
  <si>
    <t>Торг.и прочая Дт</t>
  </si>
  <si>
    <t>АК</t>
  </si>
  <si>
    <t>НРП</t>
  </si>
  <si>
    <t>Об.по аренде</t>
  </si>
  <si>
    <t>ОНО</t>
  </si>
  <si>
    <t>Долгоср.Об.по контракту</t>
  </si>
  <si>
    <t>Краткоср.Об.по контракту</t>
  </si>
  <si>
    <t>Краткоср.Об.по договорам</t>
  </si>
  <si>
    <t>КПН к уплате</t>
  </si>
  <si>
    <t>Торг.и прочая Кт</t>
  </si>
  <si>
    <t>на 31.12.2022</t>
  </si>
  <si>
    <t>на 31.12.2021</t>
  </si>
  <si>
    <t>разница на 31.12.2021</t>
  </si>
  <si>
    <t>Активы</t>
  </si>
  <si>
    <t>Пассивы</t>
  </si>
  <si>
    <t>по аудиту</t>
  </si>
  <si>
    <t>Доход о реализации</t>
  </si>
  <si>
    <t>Себестоимость</t>
  </si>
  <si>
    <t>ОАР</t>
  </si>
  <si>
    <t>Прочие доходы</t>
  </si>
  <si>
    <t>Прочие расходы</t>
  </si>
  <si>
    <t>Фин.доходы</t>
  </si>
  <si>
    <t>Фин.расходы</t>
  </si>
  <si>
    <t>Доход (убыток) от курсовой</t>
  </si>
  <si>
    <t>Анализ счета 6290 за 1 полугодие 2022 г.</t>
  </si>
  <si>
    <t>Кор. Счет</t>
  </si>
  <si>
    <t>Начальное сальдо</t>
  </si>
  <si>
    <t>1</t>
  </si>
  <si>
    <t>1000</t>
  </si>
  <si>
    <t>1020</t>
  </si>
  <si>
    <t>1022</t>
  </si>
  <si>
    <t>1200</t>
  </si>
  <si>
    <t>1210</t>
  </si>
  <si>
    <t>1270</t>
  </si>
  <si>
    <t>1274</t>
  </si>
  <si>
    <t>5</t>
  </si>
  <si>
    <t>5700</t>
  </si>
  <si>
    <t>5710</t>
  </si>
  <si>
    <t>Оборот</t>
  </si>
  <si>
    <t>Конечное сальдо</t>
  </si>
  <si>
    <t>суммовая</t>
  </si>
  <si>
    <t>аренда</t>
  </si>
  <si>
    <t>рекласс в выручку</t>
  </si>
  <si>
    <t>Анализ счета 7480 за 1 полугодие 2022 г.</t>
  </si>
  <si>
    <t>1250</t>
  </si>
  <si>
    <t>1255</t>
  </si>
  <si>
    <t>1300</t>
  </si>
  <si>
    <t>1310</t>
  </si>
  <si>
    <t>1330</t>
  </si>
  <si>
    <t>2300</t>
  </si>
  <si>
    <t>2320</t>
  </si>
  <si>
    <t>2321</t>
  </si>
  <si>
    <t>2900</t>
  </si>
  <si>
    <t>2930</t>
  </si>
  <si>
    <t>2932</t>
  </si>
  <si>
    <t>3</t>
  </si>
  <si>
    <t>3300</t>
  </si>
  <si>
    <t>3310</t>
  </si>
  <si>
    <t>3380</t>
  </si>
  <si>
    <t>3388</t>
  </si>
  <si>
    <t>3388.1</t>
  </si>
  <si>
    <t>3400</t>
  </si>
  <si>
    <t>3440</t>
  </si>
  <si>
    <t>8</t>
  </si>
  <si>
    <t>8100</t>
  </si>
  <si>
    <t>8110</t>
  </si>
  <si>
    <t>8400</t>
  </si>
  <si>
    <t>8410</t>
  </si>
  <si>
    <t>рекласс в себест.</t>
  </si>
  <si>
    <t>в прочие Р свернуть</t>
  </si>
  <si>
    <t>аренда в прочие Р</t>
  </si>
  <si>
    <t>прочие Р (аморт.СМС)</t>
  </si>
  <si>
    <t>прочие  Р</t>
  </si>
  <si>
    <t>Расходы по КПН</t>
  </si>
  <si>
    <t xml:space="preserve"> Отчет о доходах и расходах и прочем совокупном доходе (убытке)                                                                                                         за период, закончившийся 30 июня 2022 года</t>
  </si>
  <si>
    <t>Доход по курсовой разнице</t>
  </si>
  <si>
    <t xml:space="preserve">      Данная финансовая отчетность утверждена руководством  Компании 31.07.2022 года и подписана от его имени:</t>
  </si>
  <si>
    <t>Отчет о движении денежных средств                                                                                                                                              за период,   закончившийся 30 июня 2022 года</t>
  </si>
  <si>
    <t xml:space="preserve"> Отчет об изменениях в собственном капитале за период,                                                                                                                                                        закончившийся 30 июня 2022 года</t>
  </si>
  <si>
    <t>На 30 июня 2022</t>
  </si>
  <si>
    <t>CF</t>
  </si>
  <si>
    <t>ОДДС - разработочная таблица</t>
  </si>
  <si>
    <t>Резерв на переоценку основных средств</t>
  </si>
  <si>
    <t>Дополнительный оплаченный капитал</t>
  </si>
  <si>
    <t>Нераспределенный доход</t>
  </si>
  <si>
    <t>Займы</t>
  </si>
  <si>
    <t>Провизии</t>
  </si>
  <si>
    <t>Отложенный налоговый актив/ обязательство</t>
  </si>
  <si>
    <t>ПРОВЕРКА</t>
  </si>
  <si>
    <t>Изменение</t>
  </si>
  <si>
    <t>Аренда - поступление</t>
  </si>
  <si>
    <t>Аренда - изменение в оценках</t>
  </si>
  <si>
    <t>Оценочные обязательства</t>
  </si>
  <si>
    <t>Прочее</t>
  </si>
  <si>
    <t>Денежные потоки от операционной деятельности:</t>
  </si>
  <si>
    <t>Доходы от финансирования</t>
  </si>
  <si>
    <t>Расходы на финансирование</t>
  </si>
  <si>
    <t>Износ и амортизация</t>
  </si>
  <si>
    <t>(Доход) убыток от прекращения аренды</t>
  </si>
  <si>
    <t>(Доход) убыток от выбытия основных средств</t>
  </si>
  <si>
    <t>Нереализованный (доход) убыток от курсовой разницы</t>
  </si>
  <si>
    <t>Изменение запасов</t>
  </si>
  <si>
    <t>Изменение авансов выданных и прочих текущих активов</t>
  </si>
  <si>
    <t>Изменение торговой дебиторской задолженности</t>
  </si>
  <si>
    <t>Изменение провизий</t>
  </si>
  <si>
    <t>Изменение налогов к уплате</t>
  </si>
  <si>
    <t>Изменение торговой и прочей кредиторской задолженности</t>
  </si>
  <si>
    <t>Денежные средства от операционной деятельности до выплаты процентов и подоходного налога</t>
  </si>
  <si>
    <t>Чистые денежные средства от операционной деятельности</t>
  </si>
  <si>
    <t>Денежные потоки от инвестиционной деятельности:</t>
  </si>
  <si>
    <t>Инвестиции в горнодобывающие активы</t>
  </si>
  <si>
    <t>Поступления от продажи основных средств</t>
  </si>
  <si>
    <t>Приобретение инвестиций</t>
  </si>
  <si>
    <t>Размещение средств на долгосрочных депозитах</t>
  </si>
  <si>
    <t>Предоставление займов</t>
  </si>
  <si>
    <t>Погашение займов выданных</t>
  </si>
  <si>
    <t>Чистые денежные средства от (использованные в) инвестиционной деятельности</t>
  </si>
  <si>
    <t>Денежные потоки от финансовой деятельности:</t>
  </si>
  <si>
    <t>Взносы в уставный капитал</t>
  </si>
  <si>
    <t>Поступления по займам</t>
  </si>
  <si>
    <t>Погашение займов</t>
  </si>
  <si>
    <t>Дивиденды, выплаченные собственникам</t>
  </si>
  <si>
    <t>Чистые денежные средства от (использованные в) финансовой деятельности</t>
  </si>
  <si>
    <t>Чистое увеличение (уменьшение) денежных средств</t>
  </si>
  <si>
    <t>Денежные средства на начало года</t>
  </si>
  <si>
    <t>Денежные средства на конец года</t>
  </si>
  <si>
    <t>Поступление денежных средств от покупателей</t>
  </si>
  <si>
    <t>1210+3540</t>
  </si>
  <si>
    <t>Денежные средства уплаченные работникам</t>
  </si>
  <si>
    <t>3350+3388</t>
  </si>
  <si>
    <t>Прочие налоги уплаченные</t>
  </si>
  <si>
    <t>3100+3211</t>
  </si>
  <si>
    <t>Денежные средства уплаченные поставщикам</t>
  </si>
  <si>
    <t>3310+1710</t>
  </si>
  <si>
    <t>провизии</t>
  </si>
  <si>
    <t>Анализ счета 1000 за 1 полугодие 2022 г.</t>
  </si>
  <si>
    <t>1021</t>
  </si>
  <si>
    <t>1030</t>
  </si>
  <si>
    <t>1050</t>
  </si>
  <si>
    <t>1251</t>
  </si>
  <si>
    <t>1400</t>
  </si>
  <si>
    <t>1420</t>
  </si>
  <si>
    <t>1421</t>
  </si>
  <si>
    <t>1700</t>
  </si>
  <si>
    <t>1710</t>
  </si>
  <si>
    <t>3100</t>
  </si>
  <si>
    <t>3110</t>
  </si>
  <si>
    <t>3111</t>
  </si>
  <si>
    <t>3112</t>
  </si>
  <si>
    <t>3120</t>
  </si>
  <si>
    <t>3130</t>
  </si>
  <si>
    <t>3132</t>
  </si>
  <si>
    <t>3132.3</t>
  </si>
  <si>
    <t>3132.4</t>
  </si>
  <si>
    <t>3132.5</t>
  </si>
  <si>
    <t>3150</t>
  </si>
  <si>
    <t>3160</t>
  </si>
  <si>
    <t>3170</t>
  </si>
  <si>
    <t>3180</t>
  </si>
  <si>
    <t>3190</t>
  </si>
  <si>
    <t>3200</t>
  </si>
  <si>
    <t>3210</t>
  </si>
  <si>
    <t>3211</t>
  </si>
  <si>
    <t>3212</t>
  </si>
  <si>
    <t>3213</t>
  </si>
  <si>
    <t>3220</t>
  </si>
  <si>
    <t>3221</t>
  </si>
  <si>
    <t>3222</t>
  </si>
  <si>
    <t>3230</t>
  </si>
  <si>
    <t>3350</t>
  </si>
  <si>
    <t>3385</t>
  </si>
  <si>
    <t>3500</t>
  </si>
  <si>
    <t>3510</t>
  </si>
  <si>
    <t>6</t>
  </si>
  <si>
    <t>6200</t>
  </si>
  <si>
    <t>6250</t>
  </si>
  <si>
    <t>6290</t>
  </si>
  <si>
    <t>7</t>
  </si>
  <si>
    <t>7400</t>
  </si>
  <si>
    <t>7430</t>
  </si>
  <si>
    <t>7480</t>
  </si>
  <si>
    <t>нереализ.убыток от курсовой</t>
  </si>
  <si>
    <t>Анализ счета 2411 за 1 полугодие 2022 г.</t>
  </si>
  <si>
    <t>Анализ счета 2930 за 1 полугодие 2022 г.</t>
  </si>
  <si>
    <t>2411</t>
  </si>
  <si>
    <t>2931</t>
  </si>
  <si>
    <t>2933</t>
  </si>
  <si>
    <t>Анализ счета 2421 за 1 полугодие 2022 г.</t>
  </si>
  <si>
    <t>7200</t>
  </si>
  <si>
    <t>7210</t>
  </si>
  <si>
    <t>Анализ счета 2321 за 1 полугодие 2022 г.</t>
  </si>
  <si>
    <t>Анализ счета 6110 за 1 полугодие 2022 г.</t>
  </si>
  <si>
    <t>2000</t>
  </si>
  <si>
    <t>2050</t>
  </si>
  <si>
    <t>2051</t>
  </si>
  <si>
    <t xml:space="preserve"> на 31.12.2021</t>
  </si>
  <si>
    <t>на 30.06.2022</t>
  </si>
  <si>
    <t>1 п/г. 2022</t>
  </si>
  <si>
    <t>1 п/г. 2021</t>
  </si>
  <si>
    <t>1 п/г 2022</t>
  </si>
  <si>
    <t>1 п/г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</si>
</sst>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0.0"/>
    <numFmt numFmtId="167" formatCode="_-* #,##0_р_._-;\-* #,##0_р_._-;_-* &quot;-&quot;_р_._-;_-@_-"/>
    <numFmt numFmtId="168" formatCode="_(* #,##0_);_(* \(#,##0\);_(* &quot;-&quot;_);_(@_)"/>
    <numFmt numFmtId="169" formatCode="#,##0.0"/>
    <numFmt numFmtId="170" formatCode="#,##0_ ;\-#,##0\ "/>
    <numFmt numFmtId="171" formatCode="_(* #,##0.00_);_(* \(#,##0.00\);_(* &quot;-&quot;_);_(@_)"/>
  </numFmts>
  <fonts count="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66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3"/>
      <color theme="1"/>
      <name val="Arial"/>
      <family val="2"/>
      <charset val="204"/>
    </font>
    <font>
      <b/>
      <sz val="9.5"/>
      <color rgb="FF006FC0"/>
      <name val="Arial"/>
      <family val="2"/>
      <charset val="204"/>
    </font>
    <font>
      <b/>
      <sz val="6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5.5"/>
      <color theme="1"/>
      <name val="Arial"/>
      <family val="2"/>
      <charset val="204"/>
    </font>
    <font>
      <b/>
      <sz val="11"/>
      <color rgb="FF000066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  <charset val="204"/>
    </font>
    <font>
      <b/>
      <sz val="7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name val="Arial"/>
    </font>
    <font>
      <sz val="9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rgb="FFFF0000"/>
      <name val="Arial"/>
      <family val="2"/>
    </font>
    <font>
      <b/>
      <sz val="8"/>
      <name val="Arial"/>
      <family val="2"/>
      <charset val="204"/>
    </font>
    <font>
      <sz val="8"/>
      <color indexed="10"/>
      <name val="Arial"/>
      <family val="2"/>
    </font>
    <font>
      <sz val="7"/>
      <color indexed="55"/>
      <name val="Arial"/>
      <family val="2"/>
      <charset val="204"/>
    </font>
    <font>
      <b/>
      <sz val="11"/>
      <color indexed="1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Arial"/>
      <family val="2"/>
    </font>
    <font>
      <b/>
      <sz val="9"/>
      <name val="Arial"/>
      <family val="2"/>
      <charset val="204"/>
    </font>
    <font>
      <sz val="10"/>
      <color indexed="0"/>
      <name val="Helv"/>
    </font>
    <font>
      <b/>
      <sz val="9"/>
      <color indexed="8"/>
      <name val="Arial"/>
      <family val="2"/>
      <charset val="204"/>
    </font>
    <font>
      <b/>
      <sz val="7"/>
      <color rgb="FFFF0000"/>
      <name val="Arial"/>
      <family val="2"/>
      <charset val="204"/>
    </font>
    <font>
      <sz val="10"/>
      <name val="Arial Cyr"/>
      <charset val="204"/>
    </font>
    <font>
      <sz val="7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10"/>
      <name val="Arial"/>
      <family val="2"/>
      <charset val="204"/>
    </font>
    <font>
      <sz val="8"/>
      <color indexed="17"/>
      <name val="Arial"/>
      <family val="2"/>
      <charset val="204"/>
    </font>
    <font>
      <sz val="10"/>
      <name val="Helv"/>
    </font>
    <font>
      <b/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31" fillId="0" borderId="0"/>
    <xf numFmtId="0" fontId="31" fillId="0" borderId="0"/>
    <xf numFmtId="0" fontId="40" fillId="0" borderId="0"/>
    <xf numFmtId="0" fontId="40" fillId="0" borderId="0"/>
    <xf numFmtId="0" fontId="47" fillId="0" borderId="0"/>
    <xf numFmtId="0" fontId="49" fillId="0" borderId="0"/>
    <xf numFmtId="167" fontId="52" fillId="0" borderId="0" applyFont="0" applyFill="0" applyBorder="0" applyAlignment="0" applyProtection="0"/>
    <xf numFmtId="0" fontId="40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306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3" fontId="6" fillId="0" borderId="0" xfId="0" applyNumberFormat="1" applyFont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4" fontId="0" fillId="0" borderId="0" xfId="0" applyNumberForma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indent="2"/>
    </xf>
    <xf numFmtId="0" fontId="17" fillId="0" borderId="0" xfId="0" applyFont="1" applyAlignment="1">
      <alignment vertical="center"/>
    </xf>
    <xf numFmtId="3" fontId="0" fillId="0" borderId="0" xfId="0" applyNumberFormat="1"/>
    <xf numFmtId="0" fontId="9" fillId="0" borderId="0" xfId="0" applyFont="1" applyAlignment="1">
      <alignment horizontal="right" vertical="center" wrapText="1"/>
    </xf>
    <xf numFmtId="4" fontId="0" fillId="0" borderId="0" xfId="0" applyNumberFormat="1"/>
    <xf numFmtId="4" fontId="2" fillId="0" borderId="0" xfId="0" applyNumberFormat="1" applyFont="1"/>
    <xf numFmtId="0" fontId="19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164" fontId="9" fillId="0" borderId="0" xfId="1" applyNumberFormat="1" applyFont="1" applyFill="1" applyAlignment="1">
      <alignment horizontal="left" vertical="center" wrapText="1"/>
    </xf>
    <xf numFmtId="164" fontId="6" fillId="0" borderId="0" xfId="1" applyNumberFormat="1" applyFont="1" applyFill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3" fontId="6" fillId="2" borderId="0" xfId="0" applyNumberFormat="1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165" fontId="0" fillId="0" borderId="0" xfId="0" applyNumberFormat="1"/>
    <xf numFmtId="3" fontId="6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left" vertical="center" wrapText="1"/>
    </xf>
    <xf numFmtId="3" fontId="13" fillId="0" borderId="0" xfId="0" applyNumberFormat="1" applyFont="1" applyAlignment="1">
      <alignment horizontal="right" vertical="center" wrapText="1"/>
    </xf>
    <xf numFmtId="3" fontId="13" fillId="0" borderId="0" xfId="1" applyNumberFormat="1" applyFont="1" applyFill="1" applyAlignment="1">
      <alignment horizontal="right" vertical="center" wrapText="1"/>
    </xf>
    <xf numFmtId="3" fontId="18" fillId="0" borderId="0" xfId="0" applyNumberFormat="1" applyFont="1" applyAlignment="1">
      <alignment horizontal="left" vertical="center" wrapText="1"/>
    </xf>
    <xf numFmtId="3" fontId="18" fillId="0" borderId="0" xfId="1" applyNumberFormat="1" applyFont="1" applyFill="1" applyAlignment="1">
      <alignment horizontal="left" vertical="center" wrapText="1"/>
    </xf>
    <xf numFmtId="3" fontId="11" fillId="0" borderId="0" xfId="1" applyNumberFormat="1" applyFont="1" applyFill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Alignment="1">
      <alignment horizontal="left" vertical="center" wrapText="1"/>
    </xf>
    <xf numFmtId="3" fontId="7" fillId="0" borderId="2" xfId="1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/>
    <xf numFmtId="0" fontId="25" fillId="0" borderId="0" xfId="3" applyFont="1"/>
    <xf numFmtId="3" fontId="25" fillId="0" borderId="0" xfId="3" applyNumberFormat="1" applyFont="1"/>
    <xf numFmtId="0" fontId="23" fillId="0" borderId="0" xfId="3"/>
    <xf numFmtId="3" fontId="23" fillId="0" borderId="0" xfId="3" applyNumberFormat="1"/>
    <xf numFmtId="0" fontId="29" fillId="0" borderId="0" xfId="3" applyFont="1"/>
    <xf numFmtId="3" fontId="29" fillId="0" borderId="0" xfId="3" applyNumberFormat="1" applyFont="1"/>
    <xf numFmtId="0" fontId="3" fillId="0" borderId="0" xfId="3" applyFont="1"/>
    <xf numFmtId="3" fontId="3" fillId="0" borderId="0" xfId="3" applyNumberFormat="1" applyFont="1"/>
    <xf numFmtId="0" fontId="6" fillId="0" borderId="5" xfId="3" applyFont="1" applyBorder="1" applyAlignment="1">
      <alignment horizontal="center" vertical="top" wrapText="1"/>
    </xf>
    <xf numFmtId="49" fontId="6" fillId="0" borderId="5" xfId="3" applyNumberFormat="1" applyFont="1" applyBorder="1" applyAlignment="1">
      <alignment horizontal="center" vertical="top" wrapText="1"/>
    </xf>
    <xf numFmtId="3" fontId="3" fillId="0" borderId="5" xfId="3" applyNumberFormat="1" applyFont="1" applyBorder="1" applyAlignment="1">
      <alignment vertical="top" wrapText="1"/>
    </xf>
    <xf numFmtId="49" fontId="3" fillId="0" borderId="5" xfId="3" applyNumberFormat="1" applyFont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3" fontId="9" fillId="0" borderId="3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6" fillId="0" borderId="0" xfId="3" applyFont="1" applyAlignment="1">
      <alignment horizontal="justify" vertical="center"/>
    </xf>
    <xf numFmtId="0" fontId="6" fillId="0" borderId="5" xfId="3" applyFont="1" applyBorder="1" applyAlignment="1">
      <alignment vertical="top" wrapText="1"/>
    </xf>
    <xf numFmtId="3" fontId="8" fillId="0" borderId="5" xfId="3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 wrapText="1"/>
    </xf>
    <xf numFmtId="3" fontId="30" fillId="0" borderId="0" xfId="1" applyNumberFormat="1" applyFont="1" applyFill="1" applyAlignment="1">
      <alignment horizontal="right" vertical="center" wrapText="1"/>
    </xf>
    <xf numFmtId="0" fontId="31" fillId="0" borderId="0" xfId="4"/>
    <xf numFmtId="0" fontId="35" fillId="0" borderId="0" xfId="4" applyFont="1" applyAlignment="1">
      <alignment vertical="top"/>
    </xf>
    <xf numFmtId="0" fontId="36" fillId="4" borderId="11" xfId="4" applyFont="1" applyFill="1" applyBorder="1" applyAlignment="1">
      <alignment horizontal="center" vertical="top"/>
    </xf>
    <xf numFmtId="4" fontId="36" fillId="0" borderId="11" xfId="4" applyNumberFormat="1" applyFont="1" applyBorder="1" applyAlignment="1">
      <alignment horizontal="right" vertical="top" wrapText="1"/>
    </xf>
    <xf numFmtId="0" fontId="36" fillId="0" borderId="11" xfId="4" applyFont="1" applyBorder="1" applyAlignment="1">
      <alignment horizontal="right" vertical="top" wrapText="1"/>
    </xf>
    <xf numFmtId="0" fontId="36" fillId="0" borderId="15" xfId="4" applyFont="1" applyBorder="1" applyAlignment="1">
      <alignment horizontal="right" vertical="top" wrapText="1"/>
    </xf>
    <xf numFmtId="0" fontId="36" fillId="0" borderId="16" xfId="4" applyFont="1" applyBorder="1" applyAlignment="1">
      <alignment horizontal="right" vertical="top" wrapText="1"/>
    </xf>
    <xf numFmtId="2" fontId="36" fillId="0" borderId="11" xfId="4" applyNumberFormat="1" applyFont="1" applyBorder="1" applyAlignment="1">
      <alignment horizontal="right" vertical="top" wrapText="1"/>
    </xf>
    <xf numFmtId="4" fontId="32" fillId="4" borderId="11" xfId="4" applyNumberFormat="1" applyFont="1" applyFill="1" applyBorder="1" applyAlignment="1">
      <alignment horizontal="right" vertical="top" wrapText="1"/>
    </xf>
    <xf numFmtId="3" fontId="31" fillId="0" borderId="0" xfId="4" applyNumberFormat="1"/>
    <xf numFmtId="0" fontId="31" fillId="0" borderId="0" xfId="5"/>
    <xf numFmtId="0" fontId="39" fillId="0" borderId="0" xfId="5" applyFont="1" applyAlignment="1">
      <alignment vertical="top" wrapText="1"/>
    </xf>
    <xf numFmtId="0" fontId="40" fillId="0" borderId="0" xfId="5" applyFont="1" applyAlignment="1">
      <alignment vertical="top"/>
    </xf>
    <xf numFmtId="0" fontId="40" fillId="5" borderId="17" xfId="5" applyFont="1" applyFill="1" applyBorder="1" applyAlignment="1">
      <alignment vertical="top" wrapText="1"/>
    </xf>
    <xf numFmtId="0" fontId="39" fillId="6" borderId="17" xfId="5" applyFont="1" applyFill="1" applyBorder="1" applyAlignment="1">
      <alignment vertical="top"/>
    </xf>
    <xf numFmtId="4" fontId="39" fillId="6" borderId="17" xfId="5" applyNumberFormat="1" applyFont="1" applyFill="1" applyBorder="1" applyAlignment="1">
      <alignment horizontal="right" vertical="top" wrapText="1"/>
    </xf>
    <xf numFmtId="0" fontId="39" fillId="6" borderId="17" xfId="5" applyFont="1" applyFill="1" applyBorder="1" applyAlignment="1">
      <alignment horizontal="right" vertical="top" wrapText="1"/>
    </xf>
    <xf numFmtId="0" fontId="31" fillId="0" borderId="17" xfId="5" applyBorder="1" applyAlignment="1">
      <alignment vertical="top"/>
    </xf>
    <xf numFmtId="4" fontId="31" fillId="0" borderId="17" xfId="5" applyNumberFormat="1" applyBorder="1" applyAlignment="1">
      <alignment horizontal="right" vertical="top" wrapText="1"/>
    </xf>
    <xf numFmtId="0" fontId="31" fillId="0" borderId="17" xfId="5" applyBorder="1" applyAlignment="1">
      <alignment horizontal="right" vertical="top" wrapText="1"/>
    </xf>
    <xf numFmtId="0" fontId="40" fillId="5" borderId="17" xfId="5" applyFont="1" applyFill="1" applyBorder="1" applyAlignment="1">
      <alignment vertical="top"/>
    </xf>
    <xf numFmtId="4" fontId="40" fillId="5" borderId="17" xfId="5" applyNumberFormat="1" applyFont="1" applyFill="1" applyBorder="1" applyAlignment="1">
      <alignment horizontal="right" vertical="top" wrapText="1"/>
    </xf>
    <xf numFmtId="0" fontId="40" fillId="5" borderId="17" xfId="5" applyFont="1" applyFill="1" applyBorder="1" applyAlignment="1">
      <alignment horizontal="right" vertical="top" wrapText="1"/>
    </xf>
    <xf numFmtId="4" fontId="31" fillId="0" borderId="0" xfId="4" applyNumberFormat="1"/>
    <xf numFmtId="164" fontId="31" fillId="0" borderId="0" xfId="1" applyNumberFormat="1" applyFont="1"/>
    <xf numFmtId="3" fontId="31" fillId="0" borderId="0" xfId="4" applyNumberFormat="1" applyAlignment="1">
      <alignment horizontal="right"/>
    </xf>
    <xf numFmtId="164" fontId="31" fillId="0" borderId="0" xfId="1" applyNumberFormat="1" applyFont="1" applyAlignment="1">
      <alignment horizontal="right"/>
    </xf>
    <xf numFmtId="3" fontId="41" fillId="0" borderId="0" xfId="4" applyNumberFormat="1" applyFont="1"/>
    <xf numFmtId="164" fontId="31" fillId="0" borderId="0" xfId="4" applyNumberFormat="1"/>
    <xf numFmtId="164" fontId="41" fillId="0" borderId="0" xfId="4" applyNumberFormat="1" applyFont="1"/>
    <xf numFmtId="3" fontId="42" fillId="0" borderId="0" xfId="4" applyNumberFormat="1" applyFont="1"/>
    <xf numFmtId="0" fontId="39" fillId="6" borderId="17" xfId="5" applyFont="1" applyFill="1" applyBorder="1" applyAlignment="1">
      <alignment vertical="top" wrapText="1"/>
    </xf>
    <xf numFmtId="0" fontId="31" fillId="0" borderId="17" xfId="5" applyBorder="1" applyAlignment="1">
      <alignment vertical="top" wrapText="1" indent="1"/>
    </xf>
    <xf numFmtId="0" fontId="31" fillId="0" borderId="17" xfId="5" applyBorder="1" applyAlignment="1">
      <alignment vertical="top" wrapText="1" indent="2"/>
    </xf>
    <xf numFmtId="0" fontId="31" fillId="0" borderId="17" xfId="5" applyBorder="1" applyAlignment="1">
      <alignment vertical="top" wrapText="1" indent="3"/>
    </xf>
    <xf numFmtId="0" fontId="31" fillId="0" borderId="17" xfId="5" applyBorder="1" applyAlignment="1">
      <alignment vertical="top" wrapText="1" indent="4"/>
    </xf>
    <xf numFmtId="0" fontId="42" fillId="6" borderId="17" xfId="5" applyFont="1" applyFill="1" applyBorder="1" applyAlignment="1">
      <alignment vertical="top"/>
    </xf>
    <xf numFmtId="0" fontId="42" fillId="6" borderId="17" xfId="5" applyFont="1" applyFill="1" applyBorder="1" applyAlignment="1">
      <alignment vertical="top" wrapText="1"/>
    </xf>
    <xf numFmtId="4" fontId="42" fillId="6" borderId="17" xfId="5" applyNumberFormat="1" applyFont="1" applyFill="1" applyBorder="1" applyAlignment="1">
      <alignment horizontal="right" vertical="top" wrapText="1"/>
    </xf>
    <xf numFmtId="0" fontId="42" fillId="6" borderId="17" xfId="5" applyFont="1" applyFill="1" applyBorder="1" applyAlignment="1">
      <alignment horizontal="right" vertical="top" wrapText="1"/>
    </xf>
    <xf numFmtId="2" fontId="43" fillId="0" borderId="17" xfId="5" applyNumberFormat="1" applyFont="1" applyBorder="1" applyAlignment="1">
      <alignment horizontal="right" vertical="top" wrapText="1"/>
    </xf>
    <xf numFmtId="0" fontId="31" fillId="0" borderId="17" xfId="5" applyBorder="1" applyAlignment="1">
      <alignment vertical="top" wrapText="1" indent="5"/>
    </xf>
    <xf numFmtId="2" fontId="31" fillId="0" borderId="17" xfId="5" applyNumberFormat="1" applyBorder="1" applyAlignment="1">
      <alignment horizontal="right" vertical="top" wrapText="1"/>
    </xf>
    <xf numFmtId="0" fontId="44" fillId="0" borderId="0" xfId="6" applyFont="1" applyAlignment="1" applyProtection="1">
      <alignment horizontal="left" vertical="center"/>
      <protection hidden="1"/>
    </xf>
    <xf numFmtId="4" fontId="45" fillId="0" borderId="0" xfId="6" applyNumberFormat="1" applyFont="1" applyAlignment="1" applyProtection="1">
      <alignment vertical="center" wrapText="1"/>
      <protection hidden="1"/>
    </xf>
    <xf numFmtId="0" fontId="46" fillId="0" borderId="0" xfId="7" applyFont="1" applyProtection="1">
      <protection locked="0"/>
    </xf>
    <xf numFmtId="37" fontId="48" fillId="0" borderId="0" xfId="8" applyNumberFormat="1" applyFont="1" applyProtection="1">
      <protection locked="0"/>
    </xf>
    <xf numFmtId="37" fontId="39" fillId="7" borderId="20" xfId="8" applyNumberFormat="1" applyFont="1" applyFill="1" applyBorder="1" applyAlignment="1" applyProtection="1">
      <alignment horizontal="center" vertical="center" textRotation="45" wrapText="1"/>
      <protection locked="0"/>
    </xf>
    <xf numFmtId="37" fontId="30" fillId="0" borderId="0" xfId="8" applyNumberFormat="1" applyFont="1" applyProtection="1">
      <protection locked="0"/>
    </xf>
    <xf numFmtId="0" fontId="44" fillId="0" borderId="0" xfId="6" applyFont="1" applyAlignment="1" applyProtection="1">
      <alignment horizontal="left"/>
      <protection hidden="1"/>
    </xf>
    <xf numFmtId="0" fontId="50" fillId="0" borderId="0" xfId="9" applyFont="1" applyAlignment="1" applyProtection="1">
      <alignment horizontal="left"/>
      <protection locked="0"/>
    </xf>
    <xf numFmtId="166" fontId="51" fillId="0" borderId="5" xfId="8" quotePrefix="1" applyNumberFormat="1" applyFont="1" applyBorder="1" applyProtection="1">
      <protection locked="0"/>
    </xf>
    <xf numFmtId="167" fontId="46" fillId="0" borderId="0" xfId="10" applyFont="1" applyFill="1" applyBorder="1" applyProtection="1">
      <protection locked="0"/>
    </xf>
    <xf numFmtId="166" fontId="53" fillId="7" borderId="5" xfId="11" applyNumberFormat="1" applyFont="1" applyFill="1" applyBorder="1"/>
    <xf numFmtId="166" fontId="51" fillId="0" borderId="21" xfId="8" quotePrefix="1" applyNumberFormat="1" applyFont="1" applyBorder="1" applyProtection="1">
      <protection locked="0"/>
    </xf>
    <xf numFmtId="166" fontId="53" fillId="0" borderId="0" xfId="11" applyNumberFormat="1" applyFont="1"/>
    <xf numFmtId="0" fontId="54" fillId="0" borderId="0" xfId="9" applyFont="1" applyAlignment="1" applyProtection="1">
      <alignment horizontal="left"/>
      <protection locked="0"/>
    </xf>
    <xf numFmtId="166" fontId="53" fillId="0" borderId="22" xfId="10" quotePrefix="1" applyNumberFormat="1" applyFont="1" applyFill="1" applyBorder="1" applyProtection="1">
      <protection locked="0"/>
    </xf>
    <xf numFmtId="167" fontId="55" fillId="0" borderId="0" xfId="10" applyFont="1" applyFill="1" applyProtection="1">
      <protection locked="0"/>
    </xf>
    <xf numFmtId="168" fontId="30" fillId="0" borderId="23" xfId="10" quotePrefix="1" applyNumberFormat="1" applyFont="1" applyFill="1" applyBorder="1" applyProtection="1">
      <protection locked="0"/>
    </xf>
    <xf numFmtId="166" fontId="53" fillId="0" borderId="24" xfId="10" quotePrefix="1" applyNumberFormat="1" applyFont="1" applyFill="1" applyBorder="1" applyProtection="1">
      <protection locked="0"/>
    </xf>
    <xf numFmtId="168" fontId="30" fillId="0" borderId="25" xfId="10" quotePrefix="1" applyNumberFormat="1" applyFont="1" applyFill="1" applyBorder="1" applyProtection="1">
      <protection locked="0"/>
    </xf>
    <xf numFmtId="166" fontId="53" fillId="0" borderId="5" xfId="10" applyNumberFormat="1" applyFont="1" applyFill="1" applyBorder="1" applyProtection="1">
      <protection locked="0"/>
    </xf>
    <xf numFmtId="166" fontId="53" fillId="7" borderId="0" xfId="11" applyNumberFormat="1" applyFont="1" applyFill="1"/>
    <xf numFmtId="166" fontId="53" fillId="0" borderId="0" xfId="10" quotePrefix="1" applyNumberFormat="1" applyFont="1" applyFill="1" applyBorder="1" applyProtection="1">
      <protection locked="0"/>
    </xf>
    <xf numFmtId="167" fontId="55" fillId="0" borderId="0" xfId="10" applyFont="1" applyFill="1" applyBorder="1" applyProtection="1">
      <protection locked="0"/>
    </xf>
    <xf numFmtId="168" fontId="30" fillId="0" borderId="0" xfId="10" applyNumberFormat="1" applyFont="1" applyFill="1" applyBorder="1" applyProtection="1">
      <protection locked="0"/>
    </xf>
    <xf numFmtId="0" fontId="54" fillId="0" borderId="0" xfId="9" applyFont="1" applyAlignment="1" applyProtection="1">
      <alignment horizontal="left" indent="1"/>
      <protection locked="0"/>
    </xf>
    <xf numFmtId="166" fontId="53" fillId="0" borderId="26" xfId="10" quotePrefix="1" applyNumberFormat="1" applyFont="1" applyFill="1" applyBorder="1" applyProtection="1">
      <protection locked="0"/>
    </xf>
    <xf numFmtId="168" fontId="30" fillId="0" borderId="27" xfId="10" applyNumberFormat="1" applyFont="1" applyFill="1" applyBorder="1" applyProtection="1">
      <protection locked="0"/>
    </xf>
    <xf numFmtId="166" fontId="53" fillId="0" borderId="0" xfId="8" quotePrefix="1" applyNumberFormat="1" applyFont="1" applyProtection="1">
      <protection locked="0"/>
    </xf>
    <xf numFmtId="168" fontId="30" fillId="0" borderId="26" xfId="10" applyNumberFormat="1" applyFont="1" applyFill="1" applyBorder="1" applyProtection="1">
      <protection locked="0"/>
    </xf>
    <xf numFmtId="0" fontId="54" fillId="0" borderId="0" xfId="9" applyFont="1" applyProtection="1">
      <protection hidden="1"/>
    </xf>
    <xf numFmtId="168" fontId="30" fillId="0" borderId="26" xfId="10" quotePrefix="1" applyNumberFormat="1" applyFont="1" applyFill="1" applyBorder="1" applyProtection="1">
      <protection locked="0"/>
    </xf>
    <xf numFmtId="168" fontId="30" fillId="0" borderId="27" xfId="10" quotePrefix="1" applyNumberFormat="1" applyFont="1" applyFill="1" applyBorder="1" applyProtection="1">
      <protection locked="0"/>
    </xf>
    <xf numFmtId="168" fontId="30" fillId="3" borderId="27" xfId="10" quotePrefix="1" applyNumberFormat="1" applyFont="1" applyFill="1" applyBorder="1" applyProtection="1">
      <protection locked="0"/>
    </xf>
    <xf numFmtId="0" fontId="50" fillId="0" borderId="0" xfId="9" applyFont="1" applyProtection="1">
      <protection hidden="1"/>
    </xf>
    <xf numFmtId="168" fontId="48" fillId="0" borderId="5" xfId="10" quotePrefix="1" applyNumberFormat="1" applyFont="1" applyFill="1" applyBorder="1" applyProtection="1">
      <protection locked="0"/>
    </xf>
    <xf numFmtId="168" fontId="30" fillId="8" borderId="27" xfId="10" applyNumberFormat="1" applyFont="1" applyFill="1" applyBorder="1" applyProtection="1">
      <protection locked="0"/>
    </xf>
    <xf numFmtId="37" fontId="30" fillId="0" borderId="0" xfId="8" applyNumberFormat="1" applyFont="1" applyAlignment="1" applyProtection="1">
      <alignment horizontal="left"/>
      <protection locked="0"/>
    </xf>
    <xf numFmtId="168" fontId="30" fillId="3" borderId="27" xfId="10" applyNumberFormat="1" applyFont="1" applyFill="1" applyBorder="1" applyProtection="1">
      <protection locked="0"/>
    </xf>
    <xf numFmtId="169" fontId="56" fillId="0" borderId="0" xfId="7" applyNumberFormat="1" applyFont="1" applyProtection="1">
      <protection hidden="1"/>
    </xf>
    <xf numFmtId="37" fontId="48" fillId="0" borderId="0" xfId="8" applyNumberFormat="1" applyFont="1" applyAlignment="1" applyProtection="1">
      <alignment horizontal="left"/>
      <protection locked="0"/>
    </xf>
    <xf numFmtId="168" fontId="30" fillId="8" borderId="25" xfId="10" applyNumberFormat="1" applyFont="1" applyFill="1" applyBorder="1" applyProtection="1">
      <protection locked="0"/>
    </xf>
    <xf numFmtId="4" fontId="30" fillId="0" borderId="0" xfId="12" applyNumberFormat="1" applyFont="1" applyProtection="1">
      <protection hidden="1"/>
    </xf>
    <xf numFmtId="168" fontId="30" fillId="0" borderId="22" xfId="10" quotePrefix="1" applyNumberFormat="1" applyFont="1" applyFill="1" applyBorder="1" applyProtection="1">
      <protection locked="0"/>
    </xf>
    <xf numFmtId="168" fontId="30" fillId="0" borderId="24" xfId="10" quotePrefix="1" applyNumberFormat="1" applyFont="1" applyFill="1" applyBorder="1" applyProtection="1">
      <protection locked="0"/>
    </xf>
    <xf numFmtId="37" fontId="30" fillId="0" borderId="0" xfId="8" applyNumberFormat="1" applyFont="1" applyAlignment="1" applyProtection="1">
      <alignment wrapText="1"/>
      <protection locked="0"/>
    </xf>
    <xf numFmtId="4" fontId="31" fillId="0" borderId="17" xfId="13" applyNumberFormat="1" applyBorder="1" applyAlignment="1">
      <alignment horizontal="right" vertical="top" wrapText="1"/>
    </xf>
    <xf numFmtId="0" fontId="32" fillId="0" borderId="0" xfId="14" applyFont="1" applyAlignment="1">
      <alignment wrapText="1"/>
    </xf>
    <xf numFmtId="0" fontId="31" fillId="0" borderId="0" xfId="14"/>
    <xf numFmtId="0" fontId="33" fillId="0" borderId="0" xfId="14" applyFont="1" applyAlignment="1">
      <alignment wrapText="1"/>
    </xf>
    <xf numFmtId="0" fontId="34" fillId="0" borderId="0" xfId="14" applyFont="1" applyAlignment="1">
      <alignment vertical="top" wrapText="1"/>
    </xf>
    <xf numFmtId="0" fontId="35" fillId="0" borderId="0" xfId="14" applyFont="1" applyAlignment="1">
      <alignment vertical="top"/>
    </xf>
    <xf numFmtId="0" fontId="35" fillId="5" borderId="17" xfId="14" applyFont="1" applyFill="1" applyBorder="1" applyAlignment="1">
      <alignment vertical="top" wrapText="1"/>
    </xf>
    <xf numFmtId="0" fontId="34" fillId="6" borderId="17" xfId="14" applyFont="1" applyFill="1" applyBorder="1" applyAlignment="1">
      <alignment vertical="top" wrapText="1"/>
    </xf>
    <xf numFmtId="4" fontId="34" fillId="6" borderId="17" xfId="14" applyNumberFormat="1" applyFont="1" applyFill="1" applyBorder="1" applyAlignment="1">
      <alignment horizontal="right" vertical="top" wrapText="1"/>
    </xf>
    <xf numFmtId="0" fontId="34" fillId="6" borderId="17" xfId="14" applyFont="1" applyFill="1" applyBorder="1" applyAlignment="1">
      <alignment horizontal="right" vertical="top" wrapText="1"/>
    </xf>
    <xf numFmtId="0" fontId="31" fillId="0" borderId="17" xfId="14" applyBorder="1" applyAlignment="1">
      <alignment vertical="top"/>
    </xf>
    <xf numFmtId="0" fontId="31" fillId="0" borderId="17" xfId="14" applyBorder="1" applyAlignment="1">
      <alignment vertical="top" wrapText="1" indent="1"/>
    </xf>
    <xf numFmtId="4" fontId="31" fillId="0" borderId="17" xfId="14" applyNumberFormat="1" applyBorder="1" applyAlignment="1">
      <alignment horizontal="right" vertical="top" wrapText="1"/>
    </xf>
    <xf numFmtId="0" fontId="31" fillId="0" borderId="17" xfId="14" applyBorder="1" applyAlignment="1">
      <alignment vertical="top" wrapText="1" indent="2"/>
    </xf>
    <xf numFmtId="0" fontId="31" fillId="0" borderId="17" xfId="14" applyBorder="1" applyAlignment="1">
      <alignment vertical="top" wrapText="1" indent="3"/>
    </xf>
    <xf numFmtId="0" fontId="31" fillId="0" borderId="17" xfId="14" applyBorder="1" applyAlignment="1">
      <alignment vertical="top" wrapText="1" indent="4"/>
    </xf>
    <xf numFmtId="0" fontId="31" fillId="0" borderId="17" xfId="14" applyBorder="1" applyAlignment="1">
      <alignment horizontal="right" vertical="top" wrapText="1"/>
    </xf>
    <xf numFmtId="0" fontId="31" fillId="0" borderId="17" xfId="14" applyBorder="1" applyAlignment="1">
      <alignment vertical="top" wrapText="1" indent="5"/>
    </xf>
    <xf numFmtId="0" fontId="58" fillId="6" borderId="17" xfId="14" applyFont="1" applyFill="1" applyBorder="1" applyAlignment="1">
      <alignment vertical="top"/>
    </xf>
    <xf numFmtId="0" fontId="58" fillId="6" borderId="17" xfId="14" applyFont="1" applyFill="1" applyBorder="1" applyAlignment="1">
      <alignment vertical="top" wrapText="1"/>
    </xf>
    <xf numFmtId="4" fontId="58" fillId="6" borderId="17" xfId="14" applyNumberFormat="1" applyFont="1" applyFill="1" applyBorder="1" applyAlignment="1">
      <alignment horizontal="right" vertical="top" wrapText="1"/>
    </xf>
    <xf numFmtId="0" fontId="58" fillId="6" borderId="17" xfId="14" applyFont="1" applyFill="1" applyBorder="1" applyAlignment="1">
      <alignment horizontal="right" vertical="top" wrapText="1"/>
    </xf>
    <xf numFmtId="1" fontId="53" fillId="7" borderId="5" xfId="11" applyNumberFormat="1" applyFont="1" applyFill="1" applyBorder="1"/>
    <xf numFmtId="0" fontId="31" fillId="0" borderId="0" xfId="15"/>
    <xf numFmtId="0" fontId="34" fillId="0" borderId="0" xfId="15" applyFont="1" applyAlignment="1">
      <alignment vertical="top" wrapText="1"/>
    </xf>
    <xf numFmtId="0" fontId="35" fillId="0" borderId="0" xfId="15" applyFont="1" applyAlignment="1">
      <alignment vertical="top"/>
    </xf>
    <xf numFmtId="0" fontId="35" fillId="5" borderId="17" xfId="15" applyFont="1" applyFill="1" applyBorder="1" applyAlignment="1">
      <alignment vertical="top" wrapText="1"/>
    </xf>
    <xf numFmtId="0" fontId="34" fillId="6" borderId="17" xfId="15" applyFont="1" applyFill="1" applyBorder="1" applyAlignment="1">
      <alignment vertical="top" wrapText="1"/>
    </xf>
    <xf numFmtId="4" fontId="34" fillId="6" borderId="17" xfId="15" applyNumberFormat="1" applyFont="1" applyFill="1" applyBorder="1" applyAlignment="1">
      <alignment horizontal="right" vertical="top" wrapText="1"/>
    </xf>
    <xf numFmtId="0" fontId="34" fillId="6" borderId="17" xfId="15" applyFont="1" applyFill="1" applyBorder="1" applyAlignment="1">
      <alignment horizontal="right" vertical="top" wrapText="1"/>
    </xf>
    <xf numFmtId="0" fontId="31" fillId="0" borderId="17" xfId="15" applyBorder="1" applyAlignment="1">
      <alignment vertical="top"/>
    </xf>
    <xf numFmtId="0" fontId="31" fillId="0" borderId="17" xfId="15" applyBorder="1" applyAlignment="1">
      <alignment vertical="top" wrapText="1" indent="1"/>
    </xf>
    <xf numFmtId="4" fontId="31" fillId="0" borderId="17" xfId="15" applyNumberFormat="1" applyBorder="1" applyAlignment="1">
      <alignment horizontal="right" vertical="top" wrapText="1"/>
    </xf>
    <xf numFmtId="0" fontId="31" fillId="0" borderId="17" xfId="15" applyBorder="1" applyAlignment="1">
      <alignment horizontal="right" vertical="top" wrapText="1"/>
    </xf>
    <xf numFmtId="0" fontId="31" fillId="0" borderId="17" xfId="15" applyBorder="1" applyAlignment="1">
      <alignment vertical="top" wrapText="1" indent="2"/>
    </xf>
    <xf numFmtId="0" fontId="31" fillId="0" borderId="17" xfId="15" applyBorder="1" applyAlignment="1">
      <alignment vertical="top" wrapText="1" indent="3"/>
    </xf>
    <xf numFmtId="0" fontId="31" fillId="0" borderId="17" xfId="15" applyBorder="1" applyAlignment="1">
      <alignment vertical="top" wrapText="1" indent="4"/>
    </xf>
    <xf numFmtId="0" fontId="58" fillId="6" borderId="17" xfId="15" applyFont="1" applyFill="1" applyBorder="1" applyAlignment="1">
      <alignment vertical="top"/>
    </xf>
    <xf numFmtId="0" fontId="58" fillId="6" borderId="17" xfId="15" applyFont="1" applyFill="1" applyBorder="1" applyAlignment="1">
      <alignment vertical="top" wrapText="1"/>
    </xf>
    <xf numFmtId="4" fontId="58" fillId="6" borderId="17" xfId="15" applyNumberFormat="1" applyFont="1" applyFill="1" applyBorder="1" applyAlignment="1">
      <alignment horizontal="right" vertical="top" wrapText="1"/>
    </xf>
    <xf numFmtId="0" fontId="58" fillId="6" borderId="17" xfId="15" applyFont="1" applyFill="1" applyBorder="1" applyAlignment="1">
      <alignment horizontal="right" vertical="top" wrapText="1"/>
    </xf>
    <xf numFmtId="2" fontId="43" fillId="0" borderId="17" xfId="15" applyNumberFormat="1" applyFont="1" applyBorder="1" applyAlignment="1">
      <alignment horizontal="right" vertical="top" wrapText="1"/>
    </xf>
    <xf numFmtId="0" fontId="31" fillId="0" borderId="0" xfId="16"/>
    <xf numFmtId="0" fontId="34" fillId="0" borderId="0" xfId="16" applyFont="1" applyAlignment="1">
      <alignment vertical="top" wrapText="1"/>
    </xf>
    <xf numFmtId="0" fontId="35" fillId="0" borderId="0" xfId="16" applyFont="1" applyAlignment="1">
      <alignment vertical="top"/>
    </xf>
    <xf numFmtId="0" fontId="35" fillId="5" borderId="17" xfId="16" applyFont="1" applyFill="1" applyBorder="1" applyAlignment="1">
      <alignment vertical="top" wrapText="1"/>
    </xf>
    <xf numFmtId="0" fontId="34" fillId="6" borderId="17" xfId="16" applyFont="1" applyFill="1" applyBorder="1" applyAlignment="1">
      <alignment vertical="top" wrapText="1"/>
    </xf>
    <xf numFmtId="0" fontId="34" fillId="6" borderId="17" xfId="16" applyFont="1" applyFill="1" applyBorder="1" applyAlignment="1">
      <alignment horizontal="right" vertical="top" wrapText="1"/>
    </xf>
    <xf numFmtId="0" fontId="31" fillId="0" borderId="17" xfId="16" applyBorder="1" applyAlignment="1">
      <alignment vertical="top"/>
    </xf>
    <xf numFmtId="0" fontId="31" fillId="0" borderId="17" xfId="16" applyBorder="1" applyAlignment="1">
      <alignment vertical="top" wrapText="1" indent="1"/>
    </xf>
    <xf numFmtId="0" fontId="31" fillId="0" borderId="17" xfId="16" applyBorder="1" applyAlignment="1">
      <alignment horizontal="right" vertical="top" wrapText="1"/>
    </xf>
    <xf numFmtId="4" fontId="31" fillId="0" borderId="17" xfId="16" applyNumberFormat="1" applyBorder="1" applyAlignment="1">
      <alignment horizontal="right" vertical="top" wrapText="1"/>
    </xf>
    <xf numFmtId="0" fontId="31" fillId="0" borderId="17" xfId="16" applyBorder="1" applyAlignment="1">
      <alignment vertical="top" wrapText="1" indent="2"/>
    </xf>
    <xf numFmtId="0" fontId="31" fillId="0" borderId="17" xfId="16" applyBorder="1" applyAlignment="1">
      <alignment vertical="top" wrapText="1" indent="3"/>
    </xf>
    <xf numFmtId="0" fontId="31" fillId="0" borderId="17" xfId="16" applyBorder="1" applyAlignment="1">
      <alignment vertical="top" wrapText="1" indent="4"/>
    </xf>
    <xf numFmtId="0" fontId="58" fillId="6" borderId="17" xfId="16" applyFont="1" applyFill="1" applyBorder="1" applyAlignment="1">
      <alignment vertical="top"/>
    </xf>
    <xf numFmtId="0" fontId="58" fillId="6" borderId="17" xfId="16" applyFont="1" applyFill="1" applyBorder="1" applyAlignment="1">
      <alignment vertical="top" wrapText="1"/>
    </xf>
    <xf numFmtId="4" fontId="58" fillId="6" borderId="17" xfId="16" applyNumberFormat="1" applyFont="1" applyFill="1" applyBorder="1" applyAlignment="1">
      <alignment horizontal="right" vertical="top" wrapText="1"/>
    </xf>
    <xf numFmtId="0" fontId="58" fillId="6" borderId="17" xfId="16" applyFont="1" applyFill="1" applyBorder="1" applyAlignment="1">
      <alignment horizontal="right" vertical="top" wrapText="1"/>
    </xf>
    <xf numFmtId="4" fontId="42" fillId="0" borderId="0" xfId="4" applyNumberFormat="1" applyFont="1"/>
    <xf numFmtId="170" fontId="6" fillId="0" borderId="1" xfId="1" applyNumberFormat="1" applyFont="1" applyBorder="1" applyAlignment="1">
      <alignment horizontal="right" vertical="center" wrapText="1"/>
    </xf>
    <xf numFmtId="171" fontId="48" fillId="0" borderId="26" xfId="10" quotePrefix="1" applyNumberFormat="1" applyFont="1" applyFill="1" applyBorder="1" applyProtection="1">
      <protection locked="0"/>
    </xf>
    <xf numFmtId="171" fontId="30" fillId="0" borderId="26" xfId="10" quotePrefix="1" applyNumberFormat="1" applyFont="1" applyFill="1" applyBorder="1" applyProtection="1">
      <protection locked="0"/>
    </xf>
    <xf numFmtId="171" fontId="48" fillId="0" borderId="5" xfId="10" applyNumberFormat="1" applyFont="1" applyFill="1" applyBorder="1" applyProtection="1">
      <protection locked="0"/>
    </xf>
    <xf numFmtId="0" fontId="37" fillId="0" borderId="0" xfId="5" applyFont="1" applyAlignment="1">
      <alignment horizontal="left" wrapText="1"/>
    </xf>
    <xf numFmtId="0" fontId="38" fillId="0" borderId="0" xfId="5" applyFont="1" applyAlignment="1">
      <alignment horizontal="center" wrapText="1"/>
    </xf>
    <xf numFmtId="0" fontId="32" fillId="0" borderId="0" xfId="4" applyFont="1" applyAlignment="1">
      <alignment wrapText="1"/>
    </xf>
    <xf numFmtId="0" fontId="33" fillId="0" borderId="0" xfId="4" applyFont="1" applyAlignment="1">
      <alignment wrapText="1"/>
    </xf>
    <xf numFmtId="0" fontId="34" fillId="0" borderId="0" xfId="4" applyFont="1" applyAlignment="1">
      <alignment vertical="top" wrapText="1"/>
    </xf>
    <xf numFmtId="0" fontId="35" fillId="4" borderId="10" xfId="4" applyFont="1" applyFill="1" applyBorder="1" applyAlignment="1">
      <alignment vertical="top" wrapText="1"/>
    </xf>
    <xf numFmtId="0" fontId="35" fillId="4" borderId="12" xfId="4" applyFont="1" applyFill="1" applyBorder="1" applyAlignment="1">
      <alignment vertical="top" wrapText="1"/>
    </xf>
    <xf numFmtId="0" fontId="35" fillId="4" borderId="13" xfId="4" applyFont="1" applyFill="1" applyBorder="1" applyAlignment="1">
      <alignment vertical="top" wrapText="1"/>
    </xf>
    <xf numFmtId="0" fontId="35" fillId="4" borderId="14" xfId="4" applyFont="1" applyFill="1" applyBorder="1" applyAlignment="1">
      <alignment vertical="top" wrapText="1"/>
    </xf>
    <xf numFmtId="0" fontId="36" fillId="4" borderId="11" xfId="4" applyFont="1" applyFill="1" applyBorder="1" applyAlignment="1">
      <alignment horizontal="center" vertical="top"/>
    </xf>
    <xf numFmtId="0" fontId="31" fillId="0" borderId="11" xfId="4" applyBorder="1" applyAlignment="1">
      <alignment vertical="top" wrapText="1" indent="2"/>
    </xf>
    <xf numFmtId="4" fontId="36" fillId="0" borderId="11" xfId="4" applyNumberFormat="1" applyFont="1" applyBorder="1" applyAlignment="1">
      <alignment horizontal="right" vertical="top" wrapText="1"/>
    </xf>
    <xf numFmtId="0" fontId="31" fillId="0" borderId="11" xfId="4" applyBorder="1" applyAlignment="1">
      <alignment vertical="top" wrapText="1" indent="3"/>
    </xf>
    <xf numFmtId="0" fontId="31" fillId="0" borderId="11" xfId="4" applyBorder="1" applyAlignment="1">
      <alignment vertical="top" wrapText="1"/>
    </xf>
    <xf numFmtId="0" fontId="31" fillId="0" borderId="11" xfId="4" applyBorder="1" applyAlignment="1">
      <alignment vertical="top" wrapText="1" indent="1"/>
    </xf>
    <xf numFmtId="2" fontId="36" fillId="0" borderId="11" xfId="4" applyNumberFormat="1" applyFont="1" applyBorder="1" applyAlignment="1">
      <alignment horizontal="right" vertical="top" wrapText="1"/>
    </xf>
    <xf numFmtId="0" fontId="31" fillId="0" borderId="11" xfId="4" applyBorder="1" applyAlignment="1">
      <alignment vertical="top" wrapText="1" indent="4"/>
    </xf>
    <xf numFmtId="0" fontId="32" fillId="4" borderId="11" xfId="4" applyFont="1" applyFill="1" applyBorder="1" applyAlignment="1">
      <alignment vertical="top"/>
    </xf>
    <xf numFmtId="4" fontId="32" fillId="4" borderId="11" xfId="4" applyNumberFormat="1" applyFont="1" applyFill="1" applyBorder="1" applyAlignment="1">
      <alignment horizontal="right" vertical="top" wrapText="1"/>
    </xf>
    <xf numFmtId="0" fontId="31" fillId="0" borderId="18" xfId="5" applyBorder="1" applyAlignment="1">
      <alignment vertical="top" wrapText="1" indent="3"/>
    </xf>
    <xf numFmtId="0" fontId="31" fillId="0" borderId="19" xfId="5" applyBorder="1" applyAlignment="1">
      <alignment vertical="top" wrapText="1" indent="3"/>
    </xf>
    <xf numFmtId="0" fontId="31" fillId="0" borderId="18" xfId="5" applyBorder="1" applyAlignment="1">
      <alignment vertical="top" wrapText="1" indent="4"/>
    </xf>
    <xf numFmtId="0" fontId="31" fillId="0" borderId="19" xfId="5" applyBorder="1" applyAlignment="1">
      <alignment vertical="top" wrapText="1" indent="4"/>
    </xf>
    <xf numFmtId="0" fontId="40" fillId="5" borderId="18" xfId="5" applyFont="1" applyFill="1" applyBorder="1" applyAlignment="1">
      <alignment vertical="top"/>
    </xf>
    <xf numFmtId="0" fontId="40" fillId="5" borderId="19" xfId="5" applyFont="1" applyFill="1" applyBorder="1" applyAlignment="1">
      <alignment vertical="top"/>
    </xf>
    <xf numFmtId="0" fontId="40" fillId="5" borderId="18" xfId="5" applyFont="1" applyFill="1" applyBorder="1" applyAlignment="1">
      <alignment vertical="top" wrapText="1"/>
    </xf>
    <xf numFmtId="0" fontId="40" fillId="5" borderId="19" xfId="5" applyFont="1" applyFill="1" applyBorder="1" applyAlignment="1">
      <alignment vertical="top" wrapText="1"/>
    </xf>
    <xf numFmtId="0" fontId="40" fillId="5" borderId="17" xfId="5" applyFont="1" applyFill="1" applyBorder="1" applyAlignment="1">
      <alignment vertical="top" wrapText="1"/>
    </xf>
    <xf numFmtId="0" fontId="39" fillId="6" borderId="18" xfId="5" applyFont="1" applyFill="1" applyBorder="1" applyAlignment="1">
      <alignment vertical="top" wrapText="1"/>
    </xf>
    <xf numFmtId="0" fontId="39" fillId="6" borderId="19" xfId="5" applyFont="1" applyFill="1" applyBorder="1" applyAlignment="1">
      <alignment vertical="top" wrapText="1"/>
    </xf>
    <xf numFmtId="0" fontId="31" fillId="0" borderId="18" xfId="5" applyBorder="1" applyAlignment="1">
      <alignment vertical="top" wrapText="1" indent="1"/>
    </xf>
    <xf numFmtId="0" fontId="31" fillId="0" borderId="19" xfId="5" applyBorder="1" applyAlignment="1">
      <alignment vertical="top" wrapText="1" indent="1"/>
    </xf>
    <xf numFmtId="0" fontId="31" fillId="0" borderId="18" xfId="5" applyBorder="1" applyAlignment="1">
      <alignment vertical="top" wrapText="1" indent="2"/>
    </xf>
    <xf numFmtId="0" fontId="31" fillId="0" borderId="19" xfId="5" applyBorder="1" applyAlignment="1">
      <alignment vertical="top" wrapText="1" indent="2"/>
    </xf>
    <xf numFmtId="0" fontId="37" fillId="0" borderId="0" xfId="5" applyFont="1" applyAlignment="1">
      <alignment horizont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3" fontId="9" fillId="0" borderId="3" xfId="0" applyNumberFormat="1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left" vertical="center" wrapText="1"/>
    </xf>
    <xf numFmtId="3" fontId="9" fillId="0" borderId="3" xfId="1" applyNumberFormat="1" applyFont="1" applyFill="1" applyBorder="1" applyAlignment="1">
      <alignment horizontal="left" vertical="center" wrapText="1"/>
    </xf>
    <xf numFmtId="3" fontId="9" fillId="0" borderId="0" xfId="1" applyNumberFormat="1" applyFont="1" applyFill="1" applyAlignment="1">
      <alignment horizontal="left" vertical="center" wrapText="1"/>
    </xf>
    <xf numFmtId="0" fontId="6" fillId="0" borderId="0" xfId="3" applyFont="1" applyAlignment="1">
      <alignment horizontal="justify" vertical="top"/>
    </xf>
    <xf numFmtId="0" fontId="24" fillId="0" borderId="0" xfId="3" applyFont="1" applyAlignment="1">
      <alignment horizontal="right" vertical="center"/>
    </xf>
    <xf numFmtId="0" fontId="26" fillId="0" borderId="0" xfId="3" applyFont="1" applyAlignment="1">
      <alignment horizontal="right" vertical="center"/>
    </xf>
    <xf numFmtId="0" fontId="27" fillId="0" borderId="0" xfId="3" applyFont="1" applyAlignment="1">
      <alignment horizontal="right" vertical="center"/>
    </xf>
    <xf numFmtId="0" fontId="28" fillId="0" borderId="0" xfId="3" applyFont="1" applyAlignment="1">
      <alignment horizontal="center" vertical="center"/>
    </xf>
    <xf numFmtId="0" fontId="28" fillId="0" borderId="0" xfId="3" applyFont="1" applyAlignment="1">
      <alignment horizontal="center" vertical="top"/>
    </xf>
    <xf numFmtId="0" fontId="6" fillId="0" borderId="0" xfId="3" applyFont="1" applyAlignment="1">
      <alignment horizontal="center" vertical="top"/>
    </xf>
    <xf numFmtId="0" fontId="6" fillId="0" borderId="0" xfId="3" applyFont="1" applyAlignment="1">
      <alignment horizontal="justify" vertical="center"/>
    </xf>
    <xf numFmtId="0" fontId="6" fillId="0" borderId="4" xfId="3" applyFont="1" applyBorder="1" applyAlignment="1">
      <alignment horizontal="right" vertical="top"/>
    </xf>
    <xf numFmtId="0" fontId="6" fillId="0" borderId="7" xfId="3" applyFont="1" applyBorder="1" applyAlignment="1">
      <alignment vertical="top" wrapText="1"/>
    </xf>
    <xf numFmtId="0" fontId="6" fillId="0" borderId="8" xfId="3" applyFont="1" applyBorder="1" applyAlignment="1">
      <alignment vertical="top" wrapText="1"/>
    </xf>
    <xf numFmtId="0" fontId="6" fillId="0" borderId="9" xfId="3" applyFont="1" applyBorder="1" applyAlignment="1">
      <alignment vertical="top" wrapText="1"/>
    </xf>
    <xf numFmtId="0" fontId="6" fillId="0" borderId="6" xfId="3" applyFont="1" applyBorder="1" applyAlignment="1">
      <alignment horizontal="justify" vertical="center"/>
    </xf>
    <xf numFmtId="0" fontId="33" fillId="0" borderId="0" xfId="15" applyFont="1" applyAlignment="1">
      <alignment horizontal="center" wrapText="1"/>
    </xf>
    <xf numFmtId="0" fontId="32" fillId="0" borderId="0" xfId="15" applyFont="1" applyAlignment="1">
      <alignment horizontal="center" wrapText="1"/>
    </xf>
    <xf numFmtId="0" fontId="32" fillId="0" borderId="0" xfId="16" applyFont="1" applyAlignment="1">
      <alignment horizontal="center" wrapText="1"/>
    </xf>
    <xf numFmtId="0" fontId="33" fillId="0" borderId="0" xfId="16" applyFont="1" applyAlignment="1">
      <alignment horizontal="center" wrapText="1"/>
    </xf>
    <xf numFmtId="0" fontId="33" fillId="0" borderId="0" xfId="15" applyFont="1" applyAlignment="1">
      <alignment horizontal="left" wrapText="1"/>
    </xf>
  </cellXfs>
  <cellStyles count="17">
    <cellStyle name="Comma [0]_Книга1" xfId="10" xr:uid="{212B2A00-E1EA-473A-B9AB-E824AFB078FD}"/>
    <cellStyle name="Normal 12" xfId="11" xr:uid="{07D0D54C-5443-4DB6-9294-C9A2B9E25069}"/>
    <cellStyle name="Normal_EG-08-01 Compilation file" xfId="7" xr:uid="{FEEC480C-00B5-4157-8097-2F83691E81DE}"/>
    <cellStyle name="Normal_Worksheet in 2251 Cash Flow Worksheet" xfId="8" xr:uid="{8E9CD227-C806-4C9B-B948-4454140BEF2A}"/>
    <cellStyle name="Style 1" xfId="12" xr:uid="{3BC27845-2E16-4E1E-A96D-6C5855424104}"/>
    <cellStyle name="Обычный" xfId="0" builtinId="0"/>
    <cellStyle name="Обычный 2" xfId="4" xr:uid="{09494A0D-EC12-49C9-8EAD-CDBE21C14B2F}"/>
    <cellStyle name="Обычный 2 2" xfId="6" xr:uid="{60D1055A-8797-4F06-9196-C6F3AA61DD36}"/>
    <cellStyle name="Обычный 3" xfId="3" xr:uid="{988C7B93-AAC4-4D61-93E3-A2BE5CF59CF9}"/>
    <cellStyle name="Обычный_CF-21_1кв.21" xfId="15" xr:uid="{664E2CCE-6003-4906-8570-1BEBA2112633}"/>
    <cellStyle name="Обычный_CF-21_1пг.22" xfId="16" xr:uid="{FED979D7-B05E-4C73-915C-1E187F9D9FDB}"/>
    <cellStyle name="Обычный_ОДДС_К" xfId="14" xr:uid="{0581EB82-445D-42F8-8A0B-F25E4320CF36}"/>
    <cellStyle name="Обычный_ОДР и ПСД" xfId="13" xr:uid="{84025327-E50E-4616-8994-E4977E2F8920}"/>
    <cellStyle name="Обычный_ОСВ" xfId="5" xr:uid="{67AEB3C5-1C76-4243-973E-C730CBD905CF}"/>
    <cellStyle name="Стиль 1" xfId="9" xr:uid="{449CA802-BF3C-4683-B286-8B23270FFB5A}"/>
    <cellStyle name="Финансовый" xfId="1" builtinId="3"/>
    <cellStyle name="Финансовый 2" xfId="2" xr:uid="{467AEFDC-49E8-41CC-80E9-CF627553AEE1}"/>
  </cellStyles>
  <dxfs count="4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2AD94-10AD-423D-8FC0-C9AE3237E07C}">
  <sheetPr>
    <outlinePr summaryBelow="0" summaryRight="0"/>
    <pageSetUpPr autoPageBreaks="0" fitToPage="1"/>
  </sheetPr>
  <dimension ref="A1:AA185"/>
  <sheetViews>
    <sheetView topLeftCell="A58" workbookViewId="0">
      <selection activeCell="N47" sqref="N47"/>
    </sheetView>
  </sheetViews>
  <sheetFormatPr defaultRowHeight="10.199999999999999" outlineLevelRow="4"/>
  <cols>
    <col min="1" max="1" width="11.44140625" style="90" customWidth="1"/>
    <col min="2" max="2" width="3.21875" style="90" customWidth="1"/>
    <col min="3" max="3" width="12.6640625" style="90" customWidth="1"/>
    <col min="4" max="4" width="2.109375" style="90" hidden="1" customWidth="1"/>
    <col min="5" max="5" width="19.21875" style="90" customWidth="1"/>
    <col min="6" max="6" width="16.21875" style="90" customWidth="1"/>
    <col min="7" max="7" width="2.88671875" style="90" customWidth="1"/>
    <col min="8" max="8" width="14.109375" style="90" customWidth="1"/>
    <col min="9" max="9" width="16.44140625" style="90" customWidth="1"/>
    <col min="10" max="10" width="17.44140625" style="90" customWidth="1"/>
    <col min="11" max="11" width="0.21875" style="90" customWidth="1"/>
    <col min="12" max="12" width="16.21875" style="90" customWidth="1"/>
    <col min="13" max="13" width="13.44140625" style="90" customWidth="1"/>
    <col min="14" max="14" width="15.88671875" style="99" customWidth="1"/>
    <col min="15" max="15" width="13.21875" style="114" customWidth="1"/>
    <col min="16" max="16" width="16.6640625" style="90" customWidth="1"/>
    <col min="17" max="24" width="14.77734375" style="90" customWidth="1"/>
    <col min="25" max="25" width="11" style="90" customWidth="1"/>
    <col min="26" max="26" width="12.5546875" style="90" customWidth="1"/>
    <col min="27" max="256" width="8" style="90" customWidth="1"/>
    <col min="257" max="257" width="11.44140625" style="90" customWidth="1"/>
    <col min="258" max="258" width="3.21875" style="90" customWidth="1"/>
    <col min="259" max="259" width="12.6640625" style="90" customWidth="1"/>
    <col min="260" max="260" width="2.109375" style="90" customWidth="1"/>
    <col min="261" max="261" width="12.44140625" style="90" customWidth="1"/>
    <col min="262" max="262" width="14.5546875" style="90" customWidth="1"/>
    <col min="263" max="263" width="5.5546875" style="90" customWidth="1"/>
    <col min="264" max="264" width="8.88671875" style="90"/>
    <col min="265" max="266" width="14.5546875" style="90" customWidth="1"/>
    <col min="267" max="267" width="1.33203125" style="90" customWidth="1"/>
    <col min="268" max="268" width="13.21875" style="90" customWidth="1"/>
    <col min="269" max="512" width="8" style="90" customWidth="1"/>
    <col min="513" max="513" width="11.44140625" style="90" customWidth="1"/>
    <col min="514" max="514" width="3.21875" style="90" customWidth="1"/>
    <col min="515" max="515" width="12.6640625" style="90" customWidth="1"/>
    <col min="516" max="516" width="2.109375" style="90" customWidth="1"/>
    <col min="517" max="517" width="12.44140625" style="90" customWidth="1"/>
    <col min="518" max="518" width="14.5546875" style="90" customWidth="1"/>
    <col min="519" max="519" width="5.5546875" style="90" customWidth="1"/>
    <col min="520" max="520" width="8.88671875" style="90"/>
    <col min="521" max="522" width="14.5546875" style="90" customWidth="1"/>
    <col min="523" max="523" width="1.33203125" style="90" customWidth="1"/>
    <col min="524" max="524" width="13.21875" style="90" customWidth="1"/>
    <col min="525" max="768" width="8" style="90" customWidth="1"/>
    <col min="769" max="769" width="11.44140625" style="90" customWidth="1"/>
    <col min="770" max="770" width="3.21875" style="90" customWidth="1"/>
    <col min="771" max="771" width="12.6640625" style="90" customWidth="1"/>
    <col min="772" max="772" width="2.109375" style="90" customWidth="1"/>
    <col min="773" max="773" width="12.44140625" style="90" customWidth="1"/>
    <col min="774" max="774" width="14.5546875" style="90" customWidth="1"/>
    <col min="775" max="775" width="5.5546875" style="90" customWidth="1"/>
    <col min="776" max="776" width="8.88671875" style="90"/>
    <col min="777" max="778" width="14.5546875" style="90" customWidth="1"/>
    <col min="779" max="779" width="1.33203125" style="90" customWidth="1"/>
    <col min="780" max="780" width="13.21875" style="90" customWidth="1"/>
    <col min="781" max="1024" width="8" style="90" customWidth="1"/>
    <col min="1025" max="1025" width="11.44140625" style="90" customWidth="1"/>
    <col min="1026" max="1026" width="3.21875" style="90" customWidth="1"/>
    <col min="1027" max="1027" width="12.6640625" style="90" customWidth="1"/>
    <col min="1028" max="1028" width="2.109375" style="90" customWidth="1"/>
    <col min="1029" max="1029" width="12.44140625" style="90" customWidth="1"/>
    <col min="1030" max="1030" width="14.5546875" style="90" customWidth="1"/>
    <col min="1031" max="1031" width="5.5546875" style="90" customWidth="1"/>
    <col min="1032" max="1032" width="8.88671875" style="90"/>
    <col min="1033" max="1034" width="14.5546875" style="90" customWidth="1"/>
    <col min="1035" max="1035" width="1.33203125" style="90" customWidth="1"/>
    <col min="1036" max="1036" width="13.21875" style="90" customWidth="1"/>
    <col min="1037" max="1280" width="8" style="90" customWidth="1"/>
    <col min="1281" max="1281" width="11.44140625" style="90" customWidth="1"/>
    <col min="1282" max="1282" width="3.21875" style="90" customWidth="1"/>
    <col min="1283" max="1283" width="12.6640625" style="90" customWidth="1"/>
    <col min="1284" max="1284" width="2.109375" style="90" customWidth="1"/>
    <col min="1285" max="1285" width="12.44140625" style="90" customWidth="1"/>
    <col min="1286" max="1286" width="14.5546875" style="90" customWidth="1"/>
    <col min="1287" max="1287" width="5.5546875" style="90" customWidth="1"/>
    <col min="1288" max="1288" width="8.88671875" style="90"/>
    <col min="1289" max="1290" width="14.5546875" style="90" customWidth="1"/>
    <col min="1291" max="1291" width="1.33203125" style="90" customWidth="1"/>
    <col min="1292" max="1292" width="13.21875" style="90" customWidth="1"/>
    <col min="1293" max="1536" width="8" style="90" customWidth="1"/>
    <col min="1537" max="1537" width="11.44140625" style="90" customWidth="1"/>
    <col min="1538" max="1538" width="3.21875" style="90" customWidth="1"/>
    <col min="1539" max="1539" width="12.6640625" style="90" customWidth="1"/>
    <col min="1540" max="1540" width="2.109375" style="90" customWidth="1"/>
    <col min="1541" max="1541" width="12.44140625" style="90" customWidth="1"/>
    <col min="1542" max="1542" width="14.5546875" style="90" customWidth="1"/>
    <col min="1543" max="1543" width="5.5546875" style="90" customWidth="1"/>
    <col min="1544" max="1544" width="8.88671875" style="90"/>
    <col min="1545" max="1546" width="14.5546875" style="90" customWidth="1"/>
    <col min="1547" max="1547" width="1.33203125" style="90" customWidth="1"/>
    <col min="1548" max="1548" width="13.21875" style="90" customWidth="1"/>
    <col min="1549" max="1792" width="8" style="90" customWidth="1"/>
    <col min="1793" max="1793" width="11.44140625" style="90" customWidth="1"/>
    <col min="1794" max="1794" width="3.21875" style="90" customWidth="1"/>
    <col min="1795" max="1795" width="12.6640625" style="90" customWidth="1"/>
    <col min="1796" max="1796" width="2.109375" style="90" customWidth="1"/>
    <col min="1797" max="1797" width="12.44140625" style="90" customWidth="1"/>
    <col min="1798" max="1798" width="14.5546875" style="90" customWidth="1"/>
    <col min="1799" max="1799" width="5.5546875" style="90" customWidth="1"/>
    <col min="1800" max="1800" width="8.88671875" style="90"/>
    <col min="1801" max="1802" width="14.5546875" style="90" customWidth="1"/>
    <col min="1803" max="1803" width="1.33203125" style="90" customWidth="1"/>
    <col min="1804" max="1804" width="13.21875" style="90" customWidth="1"/>
    <col min="1805" max="2048" width="8" style="90" customWidth="1"/>
    <col min="2049" max="2049" width="11.44140625" style="90" customWidth="1"/>
    <col min="2050" max="2050" width="3.21875" style="90" customWidth="1"/>
    <col min="2051" max="2051" width="12.6640625" style="90" customWidth="1"/>
    <col min="2052" max="2052" width="2.109375" style="90" customWidth="1"/>
    <col min="2053" max="2053" width="12.44140625" style="90" customWidth="1"/>
    <col min="2054" max="2054" width="14.5546875" style="90" customWidth="1"/>
    <col min="2055" max="2055" width="5.5546875" style="90" customWidth="1"/>
    <col min="2056" max="2056" width="8.88671875" style="90"/>
    <col min="2057" max="2058" width="14.5546875" style="90" customWidth="1"/>
    <col min="2059" max="2059" width="1.33203125" style="90" customWidth="1"/>
    <col min="2060" max="2060" width="13.21875" style="90" customWidth="1"/>
    <col min="2061" max="2304" width="8" style="90" customWidth="1"/>
    <col min="2305" max="2305" width="11.44140625" style="90" customWidth="1"/>
    <col min="2306" max="2306" width="3.21875" style="90" customWidth="1"/>
    <col min="2307" max="2307" width="12.6640625" style="90" customWidth="1"/>
    <col min="2308" max="2308" width="2.109375" style="90" customWidth="1"/>
    <col min="2309" max="2309" width="12.44140625" style="90" customWidth="1"/>
    <col min="2310" max="2310" width="14.5546875" style="90" customWidth="1"/>
    <col min="2311" max="2311" width="5.5546875" style="90" customWidth="1"/>
    <col min="2312" max="2312" width="8.88671875" style="90"/>
    <col min="2313" max="2314" width="14.5546875" style="90" customWidth="1"/>
    <col min="2315" max="2315" width="1.33203125" style="90" customWidth="1"/>
    <col min="2316" max="2316" width="13.21875" style="90" customWidth="1"/>
    <col min="2317" max="2560" width="8" style="90" customWidth="1"/>
    <col min="2561" max="2561" width="11.44140625" style="90" customWidth="1"/>
    <col min="2562" max="2562" width="3.21875" style="90" customWidth="1"/>
    <col min="2563" max="2563" width="12.6640625" style="90" customWidth="1"/>
    <col min="2564" max="2564" width="2.109375" style="90" customWidth="1"/>
    <col min="2565" max="2565" width="12.44140625" style="90" customWidth="1"/>
    <col min="2566" max="2566" width="14.5546875" style="90" customWidth="1"/>
    <col min="2567" max="2567" width="5.5546875" style="90" customWidth="1"/>
    <col min="2568" max="2568" width="8.88671875" style="90"/>
    <col min="2569" max="2570" width="14.5546875" style="90" customWidth="1"/>
    <col min="2571" max="2571" width="1.33203125" style="90" customWidth="1"/>
    <col min="2572" max="2572" width="13.21875" style="90" customWidth="1"/>
    <col min="2573" max="2816" width="8" style="90" customWidth="1"/>
    <col min="2817" max="2817" width="11.44140625" style="90" customWidth="1"/>
    <col min="2818" max="2818" width="3.21875" style="90" customWidth="1"/>
    <col min="2819" max="2819" width="12.6640625" style="90" customWidth="1"/>
    <col min="2820" max="2820" width="2.109375" style="90" customWidth="1"/>
    <col min="2821" max="2821" width="12.44140625" style="90" customWidth="1"/>
    <col min="2822" max="2822" width="14.5546875" style="90" customWidth="1"/>
    <col min="2823" max="2823" width="5.5546875" style="90" customWidth="1"/>
    <col min="2824" max="2824" width="8.88671875" style="90"/>
    <col min="2825" max="2826" width="14.5546875" style="90" customWidth="1"/>
    <col min="2827" max="2827" width="1.33203125" style="90" customWidth="1"/>
    <col min="2828" max="2828" width="13.21875" style="90" customWidth="1"/>
    <col min="2829" max="3072" width="8" style="90" customWidth="1"/>
    <col min="3073" max="3073" width="11.44140625" style="90" customWidth="1"/>
    <col min="3074" max="3074" width="3.21875" style="90" customWidth="1"/>
    <col min="3075" max="3075" width="12.6640625" style="90" customWidth="1"/>
    <col min="3076" max="3076" width="2.109375" style="90" customWidth="1"/>
    <col min="3077" max="3077" width="12.44140625" style="90" customWidth="1"/>
    <col min="3078" max="3078" width="14.5546875" style="90" customWidth="1"/>
    <col min="3079" max="3079" width="5.5546875" style="90" customWidth="1"/>
    <col min="3080" max="3080" width="8.88671875" style="90"/>
    <col min="3081" max="3082" width="14.5546875" style="90" customWidth="1"/>
    <col min="3083" max="3083" width="1.33203125" style="90" customWidth="1"/>
    <col min="3084" max="3084" width="13.21875" style="90" customWidth="1"/>
    <col min="3085" max="3328" width="8" style="90" customWidth="1"/>
    <col min="3329" max="3329" width="11.44140625" style="90" customWidth="1"/>
    <col min="3330" max="3330" width="3.21875" style="90" customWidth="1"/>
    <col min="3331" max="3331" width="12.6640625" style="90" customWidth="1"/>
    <col min="3332" max="3332" width="2.109375" style="90" customWidth="1"/>
    <col min="3333" max="3333" width="12.44140625" style="90" customWidth="1"/>
    <col min="3334" max="3334" width="14.5546875" style="90" customWidth="1"/>
    <col min="3335" max="3335" width="5.5546875" style="90" customWidth="1"/>
    <col min="3336" max="3336" width="8.88671875" style="90"/>
    <col min="3337" max="3338" width="14.5546875" style="90" customWidth="1"/>
    <col min="3339" max="3339" width="1.33203125" style="90" customWidth="1"/>
    <col min="3340" max="3340" width="13.21875" style="90" customWidth="1"/>
    <col min="3341" max="3584" width="8" style="90" customWidth="1"/>
    <col min="3585" max="3585" width="11.44140625" style="90" customWidth="1"/>
    <col min="3586" max="3586" width="3.21875" style="90" customWidth="1"/>
    <col min="3587" max="3587" width="12.6640625" style="90" customWidth="1"/>
    <col min="3588" max="3588" width="2.109375" style="90" customWidth="1"/>
    <col min="3589" max="3589" width="12.44140625" style="90" customWidth="1"/>
    <col min="3590" max="3590" width="14.5546875" style="90" customWidth="1"/>
    <col min="3591" max="3591" width="5.5546875" style="90" customWidth="1"/>
    <col min="3592" max="3592" width="8.88671875" style="90"/>
    <col min="3593" max="3594" width="14.5546875" style="90" customWidth="1"/>
    <col min="3595" max="3595" width="1.33203125" style="90" customWidth="1"/>
    <col min="3596" max="3596" width="13.21875" style="90" customWidth="1"/>
    <col min="3597" max="3840" width="8" style="90" customWidth="1"/>
    <col min="3841" max="3841" width="11.44140625" style="90" customWidth="1"/>
    <col min="3842" max="3842" width="3.21875" style="90" customWidth="1"/>
    <col min="3843" max="3843" width="12.6640625" style="90" customWidth="1"/>
    <col min="3844" max="3844" width="2.109375" style="90" customWidth="1"/>
    <col min="3845" max="3845" width="12.44140625" style="90" customWidth="1"/>
    <col min="3846" max="3846" width="14.5546875" style="90" customWidth="1"/>
    <col min="3847" max="3847" width="5.5546875" style="90" customWidth="1"/>
    <col min="3848" max="3848" width="8.88671875" style="90"/>
    <col min="3849" max="3850" width="14.5546875" style="90" customWidth="1"/>
    <col min="3851" max="3851" width="1.33203125" style="90" customWidth="1"/>
    <col min="3852" max="3852" width="13.21875" style="90" customWidth="1"/>
    <col min="3853" max="4096" width="8" style="90" customWidth="1"/>
    <col min="4097" max="4097" width="11.44140625" style="90" customWidth="1"/>
    <col min="4098" max="4098" width="3.21875" style="90" customWidth="1"/>
    <col min="4099" max="4099" width="12.6640625" style="90" customWidth="1"/>
    <col min="4100" max="4100" width="2.109375" style="90" customWidth="1"/>
    <col min="4101" max="4101" width="12.44140625" style="90" customWidth="1"/>
    <col min="4102" max="4102" width="14.5546875" style="90" customWidth="1"/>
    <col min="4103" max="4103" width="5.5546875" style="90" customWidth="1"/>
    <col min="4104" max="4104" width="8.88671875" style="90"/>
    <col min="4105" max="4106" width="14.5546875" style="90" customWidth="1"/>
    <col min="4107" max="4107" width="1.33203125" style="90" customWidth="1"/>
    <col min="4108" max="4108" width="13.21875" style="90" customWidth="1"/>
    <col min="4109" max="4352" width="8" style="90" customWidth="1"/>
    <col min="4353" max="4353" width="11.44140625" style="90" customWidth="1"/>
    <col min="4354" max="4354" width="3.21875" style="90" customWidth="1"/>
    <col min="4355" max="4355" width="12.6640625" style="90" customWidth="1"/>
    <col min="4356" max="4356" width="2.109375" style="90" customWidth="1"/>
    <col min="4357" max="4357" width="12.44140625" style="90" customWidth="1"/>
    <col min="4358" max="4358" width="14.5546875" style="90" customWidth="1"/>
    <col min="4359" max="4359" width="5.5546875" style="90" customWidth="1"/>
    <col min="4360" max="4360" width="8.88671875" style="90"/>
    <col min="4361" max="4362" width="14.5546875" style="90" customWidth="1"/>
    <col min="4363" max="4363" width="1.33203125" style="90" customWidth="1"/>
    <col min="4364" max="4364" width="13.21875" style="90" customWidth="1"/>
    <col min="4365" max="4608" width="8" style="90" customWidth="1"/>
    <col min="4609" max="4609" width="11.44140625" style="90" customWidth="1"/>
    <col min="4610" max="4610" width="3.21875" style="90" customWidth="1"/>
    <col min="4611" max="4611" width="12.6640625" style="90" customWidth="1"/>
    <col min="4612" max="4612" width="2.109375" style="90" customWidth="1"/>
    <col min="4613" max="4613" width="12.44140625" style="90" customWidth="1"/>
    <col min="4614" max="4614" width="14.5546875" style="90" customWidth="1"/>
    <col min="4615" max="4615" width="5.5546875" style="90" customWidth="1"/>
    <col min="4616" max="4616" width="8.88671875" style="90"/>
    <col min="4617" max="4618" width="14.5546875" style="90" customWidth="1"/>
    <col min="4619" max="4619" width="1.33203125" style="90" customWidth="1"/>
    <col min="4620" max="4620" width="13.21875" style="90" customWidth="1"/>
    <col min="4621" max="4864" width="8" style="90" customWidth="1"/>
    <col min="4865" max="4865" width="11.44140625" style="90" customWidth="1"/>
    <col min="4866" max="4866" width="3.21875" style="90" customWidth="1"/>
    <col min="4867" max="4867" width="12.6640625" style="90" customWidth="1"/>
    <col min="4868" max="4868" width="2.109375" style="90" customWidth="1"/>
    <col min="4869" max="4869" width="12.44140625" style="90" customWidth="1"/>
    <col min="4870" max="4870" width="14.5546875" style="90" customWidth="1"/>
    <col min="4871" max="4871" width="5.5546875" style="90" customWidth="1"/>
    <col min="4872" max="4872" width="8.88671875" style="90"/>
    <col min="4873" max="4874" width="14.5546875" style="90" customWidth="1"/>
    <col min="4875" max="4875" width="1.33203125" style="90" customWidth="1"/>
    <col min="4876" max="4876" width="13.21875" style="90" customWidth="1"/>
    <col min="4877" max="5120" width="8" style="90" customWidth="1"/>
    <col min="5121" max="5121" width="11.44140625" style="90" customWidth="1"/>
    <col min="5122" max="5122" width="3.21875" style="90" customWidth="1"/>
    <col min="5123" max="5123" width="12.6640625" style="90" customWidth="1"/>
    <col min="5124" max="5124" width="2.109375" style="90" customWidth="1"/>
    <col min="5125" max="5125" width="12.44140625" style="90" customWidth="1"/>
    <col min="5126" max="5126" width="14.5546875" style="90" customWidth="1"/>
    <col min="5127" max="5127" width="5.5546875" style="90" customWidth="1"/>
    <col min="5128" max="5128" width="8.88671875" style="90"/>
    <col min="5129" max="5130" width="14.5546875" style="90" customWidth="1"/>
    <col min="5131" max="5131" width="1.33203125" style="90" customWidth="1"/>
    <col min="5132" max="5132" width="13.21875" style="90" customWidth="1"/>
    <col min="5133" max="5376" width="8" style="90" customWidth="1"/>
    <col min="5377" max="5377" width="11.44140625" style="90" customWidth="1"/>
    <col min="5378" max="5378" width="3.21875" style="90" customWidth="1"/>
    <col min="5379" max="5379" width="12.6640625" style="90" customWidth="1"/>
    <col min="5380" max="5380" width="2.109375" style="90" customWidth="1"/>
    <col min="5381" max="5381" width="12.44140625" style="90" customWidth="1"/>
    <col min="5382" max="5382" width="14.5546875" style="90" customWidth="1"/>
    <col min="5383" max="5383" width="5.5546875" style="90" customWidth="1"/>
    <col min="5384" max="5384" width="8.88671875" style="90"/>
    <col min="5385" max="5386" width="14.5546875" style="90" customWidth="1"/>
    <col min="5387" max="5387" width="1.33203125" style="90" customWidth="1"/>
    <col min="5388" max="5388" width="13.21875" style="90" customWidth="1"/>
    <col min="5389" max="5632" width="8" style="90" customWidth="1"/>
    <col min="5633" max="5633" width="11.44140625" style="90" customWidth="1"/>
    <col min="5634" max="5634" width="3.21875" style="90" customWidth="1"/>
    <col min="5635" max="5635" width="12.6640625" style="90" customWidth="1"/>
    <col min="5636" max="5636" width="2.109375" style="90" customWidth="1"/>
    <col min="5637" max="5637" width="12.44140625" style="90" customWidth="1"/>
    <col min="5638" max="5638" width="14.5546875" style="90" customWidth="1"/>
    <col min="5639" max="5639" width="5.5546875" style="90" customWidth="1"/>
    <col min="5640" max="5640" width="8.88671875" style="90"/>
    <col min="5641" max="5642" width="14.5546875" style="90" customWidth="1"/>
    <col min="5643" max="5643" width="1.33203125" style="90" customWidth="1"/>
    <col min="5644" max="5644" width="13.21875" style="90" customWidth="1"/>
    <col min="5645" max="5888" width="8" style="90" customWidth="1"/>
    <col min="5889" max="5889" width="11.44140625" style="90" customWidth="1"/>
    <col min="5890" max="5890" width="3.21875" style="90" customWidth="1"/>
    <col min="5891" max="5891" width="12.6640625" style="90" customWidth="1"/>
    <col min="5892" max="5892" width="2.109375" style="90" customWidth="1"/>
    <col min="5893" max="5893" width="12.44140625" style="90" customWidth="1"/>
    <col min="5894" max="5894" width="14.5546875" style="90" customWidth="1"/>
    <col min="5895" max="5895" width="5.5546875" style="90" customWidth="1"/>
    <col min="5896" max="5896" width="8.88671875" style="90"/>
    <col min="5897" max="5898" width="14.5546875" style="90" customWidth="1"/>
    <col min="5899" max="5899" width="1.33203125" style="90" customWidth="1"/>
    <col min="5900" max="5900" width="13.21875" style="90" customWidth="1"/>
    <col min="5901" max="6144" width="8" style="90" customWidth="1"/>
    <col min="6145" max="6145" width="11.44140625" style="90" customWidth="1"/>
    <col min="6146" max="6146" width="3.21875" style="90" customWidth="1"/>
    <col min="6147" max="6147" width="12.6640625" style="90" customWidth="1"/>
    <col min="6148" max="6148" width="2.109375" style="90" customWidth="1"/>
    <col min="6149" max="6149" width="12.44140625" style="90" customWidth="1"/>
    <col min="6150" max="6150" width="14.5546875" style="90" customWidth="1"/>
    <col min="6151" max="6151" width="5.5546875" style="90" customWidth="1"/>
    <col min="6152" max="6152" width="8.88671875" style="90"/>
    <col min="6153" max="6154" width="14.5546875" style="90" customWidth="1"/>
    <col min="6155" max="6155" width="1.33203125" style="90" customWidth="1"/>
    <col min="6156" max="6156" width="13.21875" style="90" customWidth="1"/>
    <col min="6157" max="6400" width="8" style="90" customWidth="1"/>
    <col min="6401" max="6401" width="11.44140625" style="90" customWidth="1"/>
    <col min="6402" max="6402" width="3.21875" style="90" customWidth="1"/>
    <col min="6403" max="6403" width="12.6640625" style="90" customWidth="1"/>
    <col min="6404" max="6404" width="2.109375" style="90" customWidth="1"/>
    <col min="6405" max="6405" width="12.44140625" style="90" customWidth="1"/>
    <col min="6406" max="6406" width="14.5546875" style="90" customWidth="1"/>
    <col min="6407" max="6407" width="5.5546875" style="90" customWidth="1"/>
    <col min="6408" max="6408" width="8.88671875" style="90"/>
    <col min="6409" max="6410" width="14.5546875" style="90" customWidth="1"/>
    <col min="6411" max="6411" width="1.33203125" style="90" customWidth="1"/>
    <col min="6412" max="6412" width="13.21875" style="90" customWidth="1"/>
    <col min="6413" max="6656" width="8" style="90" customWidth="1"/>
    <col min="6657" max="6657" width="11.44140625" style="90" customWidth="1"/>
    <col min="6658" max="6658" width="3.21875" style="90" customWidth="1"/>
    <col min="6659" max="6659" width="12.6640625" style="90" customWidth="1"/>
    <col min="6660" max="6660" width="2.109375" style="90" customWidth="1"/>
    <col min="6661" max="6661" width="12.44140625" style="90" customWidth="1"/>
    <col min="6662" max="6662" width="14.5546875" style="90" customWidth="1"/>
    <col min="6663" max="6663" width="5.5546875" style="90" customWidth="1"/>
    <col min="6664" max="6664" width="8.88671875" style="90"/>
    <col min="6665" max="6666" width="14.5546875" style="90" customWidth="1"/>
    <col min="6667" max="6667" width="1.33203125" style="90" customWidth="1"/>
    <col min="6668" max="6668" width="13.21875" style="90" customWidth="1"/>
    <col min="6669" max="6912" width="8" style="90" customWidth="1"/>
    <col min="6913" max="6913" width="11.44140625" style="90" customWidth="1"/>
    <col min="6914" max="6914" width="3.21875" style="90" customWidth="1"/>
    <col min="6915" max="6915" width="12.6640625" style="90" customWidth="1"/>
    <col min="6916" max="6916" width="2.109375" style="90" customWidth="1"/>
    <col min="6917" max="6917" width="12.44140625" style="90" customWidth="1"/>
    <col min="6918" max="6918" width="14.5546875" style="90" customWidth="1"/>
    <col min="6919" max="6919" width="5.5546875" style="90" customWidth="1"/>
    <col min="6920" max="6920" width="8.88671875" style="90"/>
    <col min="6921" max="6922" width="14.5546875" style="90" customWidth="1"/>
    <col min="6923" max="6923" width="1.33203125" style="90" customWidth="1"/>
    <col min="6924" max="6924" width="13.21875" style="90" customWidth="1"/>
    <col min="6925" max="7168" width="8" style="90" customWidth="1"/>
    <col min="7169" max="7169" width="11.44140625" style="90" customWidth="1"/>
    <col min="7170" max="7170" width="3.21875" style="90" customWidth="1"/>
    <col min="7171" max="7171" width="12.6640625" style="90" customWidth="1"/>
    <col min="7172" max="7172" width="2.109375" style="90" customWidth="1"/>
    <col min="7173" max="7173" width="12.44140625" style="90" customWidth="1"/>
    <col min="7174" max="7174" width="14.5546875" style="90" customWidth="1"/>
    <col min="7175" max="7175" width="5.5546875" style="90" customWidth="1"/>
    <col min="7176" max="7176" width="8.88671875" style="90"/>
    <col min="7177" max="7178" width="14.5546875" style="90" customWidth="1"/>
    <col min="7179" max="7179" width="1.33203125" style="90" customWidth="1"/>
    <col min="7180" max="7180" width="13.21875" style="90" customWidth="1"/>
    <col min="7181" max="7424" width="8" style="90" customWidth="1"/>
    <col min="7425" max="7425" width="11.44140625" style="90" customWidth="1"/>
    <col min="7426" max="7426" width="3.21875" style="90" customWidth="1"/>
    <col min="7427" max="7427" width="12.6640625" style="90" customWidth="1"/>
    <col min="7428" max="7428" width="2.109375" style="90" customWidth="1"/>
    <col min="7429" max="7429" width="12.44140625" style="90" customWidth="1"/>
    <col min="7430" max="7430" width="14.5546875" style="90" customWidth="1"/>
    <col min="7431" max="7431" width="5.5546875" style="90" customWidth="1"/>
    <col min="7432" max="7432" width="8.88671875" style="90"/>
    <col min="7433" max="7434" width="14.5546875" style="90" customWidth="1"/>
    <col min="7435" max="7435" width="1.33203125" style="90" customWidth="1"/>
    <col min="7436" max="7436" width="13.21875" style="90" customWidth="1"/>
    <col min="7437" max="7680" width="8" style="90" customWidth="1"/>
    <col min="7681" max="7681" width="11.44140625" style="90" customWidth="1"/>
    <col min="7682" max="7682" width="3.21875" style="90" customWidth="1"/>
    <col min="7683" max="7683" width="12.6640625" style="90" customWidth="1"/>
    <col min="7684" max="7684" width="2.109375" style="90" customWidth="1"/>
    <col min="7685" max="7685" width="12.44140625" style="90" customWidth="1"/>
    <col min="7686" max="7686" width="14.5546875" style="90" customWidth="1"/>
    <col min="7687" max="7687" width="5.5546875" style="90" customWidth="1"/>
    <col min="7688" max="7688" width="8.88671875" style="90"/>
    <col min="7689" max="7690" width="14.5546875" style="90" customWidth="1"/>
    <col min="7691" max="7691" width="1.33203125" style="90" customWidth="1"/>
    <col min="7692" max="7692" width="13.21875" style="90" customWidth="1"/>
    <col min="7693" max="7936" width="8" style="90" customWidth="1"/>
    <col min="7937" max="7937" width="11.44140625" style="90" customWidth="1"/>
    <col min="7938" max="7938" width="3.21875" style="90" customWidth="1"/>
    <col min="7939" max="7939" width="12.6640625" style="90" customWidth="1"/>
    <col min="7940" max="7940" width="2.109375" style="90" customWidth="1"/>
    <col min="7941" max="7941" width="12.44140625" style="90" customWidth="1"/>
    <col min="7942" max="7942" width="14.5546875" style="90" customWidth="1"/>
    <col min="7943" max="7943" width="5.5546875" style="90" customWidth="1"/>
    <col min="7944" max="7944" width="8.88671875" style="90"/>
    <col min="7945" max="7946" width="14.5546875" style="90" customWidth="1"/>
    <col min="7947" max="7947" width="1.33203125" style="90" customWidth="1"/>
    <col min="7948" max="7948" width="13.21875" style="90" customWidth="1"/>
    <col min="7949" max="8192" width="8" style="90" customWidth="1"/>
    <col min="8193" max="8193" width="11.44140625" style="90" customWidth="1"/>
    <col min="8194" max="8194" width="3.21875" style="90" customWidth="1"/>
    <col min="8195" max="8195" width="12.6640625" style="90" customWidth="1"/>
    <col min="8196" max="8196" width="2.109375" style="90" customWidth="1"/>
    <col min="8197" max="8197" width="12.44140625" style="90" customWidth="1"/>
    <col min="8198" max="8198" width="14.5546875" style="90" customWidth="1"/>
    <col min="8199" max="8199" width="5.5546875" style="90" customWidth="1"/>
    <col min="8200" max="8200" width="8.88671875" style="90"/>
    <col min="8201" max="8202" width="14.5546875" style="90" customWidth="1"/>
    <col min="8203" max="8203" width="1.33203125" style="90" customWidth="1"/>
    <col min="8204" max="8204" width="13.21875" style="90" customWidth="1"/>
    <col min="8205" max="8448" width="8" style="90" customWidth="1"/>
    <col min="8449" max="8449" width="11.44140625" style="90" customWidth="1"/>
    <col min="8450" max="8450" width="3.21875" style="90" customWidth="1"/>
    <col min="8451" max="8451" width="12.6640625" style="90" customWidth="1"/>
    <col min="8452" max="8452" width="2.109375" style="90" customWidth="1"/>
    <col min="8453" max="8453" width="12.44140625" style="90" customWidth="1"/>
    <col min="8454" max="8454" width="14.5546875" style="90" customWidth="1"/>
    <col min="8455" max="8455" width="5.5546875" style="90" customWidth="1"/>
    <col min="8456" max="8456" width="8.88671875" style="90"/>
    <col min="8457" max="8458" width="14.5546875" style="90" customWidth="1"/>
    <col min="8459" max="8459" width="1.33203125" style="90" customWidth="1"/>
    <col min="8460" max="8460" width="13.21875" style="90" customWidth="1"/>
    <col min="8461" max="8704" width="8" style="90" customWidth="1"/>
    <col min="8705" max="8705" width="11.44140625" style="90" customWidth="1"/>
    <col min="8706" max="8706" width="3.21875" style="90" customWidth="1"/>
    <col min="8707" max="8707" width="12.6640625" style="90" customWidth="1"/>
    <col min="8708" max="8708" width="2.109375" style="90" customWidth="1"/>
    <col min="8709" max="8709" width="12.44140625" style="90" customWidth="1"/>
    <col min="8710" max="8710" width="14.5546875" style="90" customWidth="1"/>
    <col min="8711" max="8711" width="5.5546875" style="90" customWidth="1"/>
    <col min="8712" max="8712" width="8.88671875" style="90"/>
    <col min="8713" max="8714" width="14.5546875" style="90" customWidth="1"/>
    <col min="8715" max="8715" width="1.33203125" style="90" customWidth="1"/>
    <col min="8716" max="8716" width="13.21875" style="90" customWidth="1"/>
    <col min="8717" max="8960" width="8" style="90" customWidth="1"/>
    <col min="8961" max="8961" width="11.44140625" style="90" customWidth="1"/>
    <col min="8962" max="8962" width="3.21875" style="90" customWidth="1"/>
    <col min="8963" max="8963" width="12.6640625" style="90" customWidth="1"/>
    <col min="8964" max="8964" width="2.109375" style="90" customWidth="1"/>
    <col min="8965" max="8965" width="12.44140625" style="90" customWidth="1"/>
    <col min="8966" max="8966" width="14.5546875" style="90" customWidth="1"/>
    <col min="8967" max="8967" width="5.5546875" style="90" customWidth="1"/>
    <col min="8968" max="8968" width="8.88671875" style="90"/>
    <col min="8969" max="8970" width="14.5546875" style="90" customWidth="1"/>
    <col min="8971" max="8971" width="1.33203125" style="90" customWidth="1"/>
    <col min="8972" max="8972" width="13.21875" style="90" customWidth="1"/>
    <col min="8973" max="9216" width="8" style="90" customWidth="1"/>
    <col min="9217" max="9217" width="11.44140625" style="90" customWidth="1"/>
    <col min="9218" max="9218" width="3.21875" style="90" customWidth="1"/>
    <col min="9219" max="9219" width="12.6640625" style="90" customWidth="1"/>
    <col min="9220" max="9220" width="2.109375" style="90" customWidth="1"/>
    <col min="9221" max="9221" width="12.44140625" style="90" customWidth="1"/>
    <col min="9222" max="9222" width="14.5546875" style="90" customWidth="1"/>
    <col min="9223" max="9223" width="5.5546875" style="90" customWidth="1"/>
    <col min="9224" max="9224" width="8.88671875" style="90"/>
    <col min="9225" max="9226" width="14.5546875" style="90" customWidth="1"/>
    <col min="9227" max="9227" width="1.33203125" style="90" customWidth="1"/>
    <col min="9228" max="9228" width="13.21875" style="90" customWidth="1"/>
    <col min="9229" max="9472" width="8" style="90" customWidth="1"/>
    <col min="9473" max="9473" width="11.44140625" style="90" customWidth="1"/>
    <col min="9474" max="9474" width="3.21875" style="90" customWidth="1"/>
    <col min="9475" max="9475" width="12.6640625" style="90" customWidth="1"/>
    <col min="9476" max="9476" width="2.109375" style="90" customWidth="1"/>
    <col min="9477" max="9477" width="12.44140625" style="90" customWidth="1"/>
    <col min="9478" max="9478" width="14.5546875" style="90" customWidth="1"/>
    <col min="9479" max="9479" width="5.5546875" style="90" customWidth="1"/>
    <col min="9480" max="9480" width="8.88671875" style="90"/>
    <col min="9481" max="9482" width="14.5546875" style="90" customWidth="1"/>
    <col min="9483" max="9483" width="1.33203125" style="90" customWidth="1"/>
    <col min="9484" max="9484" width="13.21875" style="90" customWidth="1"/>
    <col min="9485" max="9728" width="8" style="90" customWidth="1"/>
    <col min="9729" max="9729" width="11.44140625" style="90" customWidth="1"/>
    <col min="9730" max="9730" width="3.21875" style="90" customWidth="1"/>
    <col min="9731" max="9731" width="12.6640625" style="90" customWidth="1"/>
    <col min="9732" max="9732" width="2.109375" style="90" customWidth="1"/>
    <col min="9733" max="9733" width="12.44140625" style="90" customWidth="1"/>
    <col min="9734" max="9734" width="14.5546875" style="90" customWidth="1"/>
    <col min="9735" max="9735" width="5.5546875" style="90" customWidth="1"/>
    <col min="9736" max="9736" width="8.88671875" style="90"/>
    <col min="9737" max="9738" width="14.5546875" style="90" customWidth="1"/>
    <col min="9739" max="9739" width="1.33203125" style="90" customWidth="1"/>
    <col min="9740" max="9740" width="13.21875" style="90" customWidth="1"/>
    <col min="9741" max="9984" width="8" style="90" customWidth="1"/>
    <col min="9985" max="9985" width="11.44140625" style="90" customWidth="1"/>
    <col min="9986" max="9986" width="3.21875" style="90" customWidth="1"/>
    <col min="9987" max="9987" width="12.6640625" style="90" customWidth="1"/>
    <col min="9988" max="9988" width="2.109375" style="90" customWidth="1"/>
    <col min="9989" max="9989" width="12.44140625" style="90" customWidth="1"/>
    <col min="9990" max="9990" width="14.5546875" style="90" customWidth="1"/>
    <col min="9991" max="9991" width="5.5546875" style="90" customWidth="1"/>
    <col min="9992" max="9992" width="8.88671875" style="90"/>
    <col min="9993" max="9994" width="14.5546875" style="90" customWidth="1"/>
    <col min="9995" max="9995" width="1.33203125" style="90" customWidth="1"/>
    <col min="9996" max="9996" width="13.21875" style="90" customWidth="1"/>
    <col min="9997" max="10240" width="8" style="90" customWidth="1"/>
    <col min="10241" max="10241" width="11.44140625" style="90" customWidth="1"/>
    <col min="10242" max="10242" width="3.21875" style="90" customWidth="1"/>
    <col min="10243" max="10243" width="12.6640625" style="90" customWidth="1"/>
    <col min="10244" max="10244" width="2.109375" style="90" customWidth="1"/>
    <col min="10245" max="10245" width="12.44140625" style="90" customWidth="1"/>
    <col min="10246" max="10246" width="14.5546875" style="90" customWidth="1"/>
    <col min="10247" max="10247" width="5.5546875" style="90" customWidth="1"/>
    <col min="10248" max="10248" width="8.88671875" style="90"/>
    <col min="10249" max="10250" width="14.5546875" style="90" customWidth="1"/>
    <col min="10251" max="10251" width="1.33203125" style="90" customWidth="1"/>
    <col min="10252" max="10252" width="13.21875" style="90" customWidth="1"/>
    <col min="10253" max="10496" width="8" style="90" customWidth="1"/>
    <col min="10497" max="10497" width="11.44140625" style="90" customWidth="1"/>
    <col min="10498" max="10498" width="3.21875" style="90" customWidth="1"/>
    <col min="10499" max="10499" width="12.6640625" style="90" customWidth="1"/>
    <col min="10500" max="10500" width="2.109375" style="90" customWidth="1"/>
    <col min="10501" max="10501" width="12.44140625" style="90" customWidth="1"/>
    <col min="10502" max="10502" width="14.5546875" style="90" customWidth="1"/>
    <col min="10503" max="10503" width="5.5546875" style="90" customWidth="1"/>
    <col min="10504" max="10504" width="8.88671875" style="90"/>
    <col min="10505" max="10506" width="14.5546875" style="90" customWidth="1"/>
    <col min="10507" max="10507" width="1.33203125" style="90" customWidth="1"/>
    <col min="10508" max="10508" width="13.21875" style="90" customWidth="1"/>
    <col min="10509" max="10752" width="8" style="90" customWidth="1"/>
    <col min="10753" max="10753" width="11.44140625" style="90" customWidth="1"/>
    <col min="10754" max="10754" width="3.21875" style="90" customWidth="1"/>
    <col min="10755" max="10755" width="12.6640625" style="90" customWidth="1"/>
    <col min="10756" max="10756" width="2.109375" style="90" customWidth="1"/>
    <col min="10757" max="10757" width="12.44140625" style="90" customWidth="1"/>
    <col min="10758" max="10758" width="14.5546875" style="90" customWidth="1"/>
    <col min="10759" max="10759" width="5.5546875" style="90" customWidth="1"/>
    <col min="10760" max="10760" width="8.88671875" style="90"/>
    <col min="10761" max="10762" width="14.5546875" style="90" customWidth="1"/>
    <col min="10763" max="10763" width="1.33203125" style="90" customWidth="1"/>
    <col min="10764" max="10764" width="13.21875" style="90" customWidth="1"/>
    <col min="10765" max="11008" width="8" style="90" customWidth="1"/>
    <col min="11009" max="11009" width="11.44140625" style="90" customWidth="1"/>
    <col min="11010" max="11010" width="3.21875" style="90" customWidth="1"/>
    <col min="11011" max="11011" width="12.6640625" style="90" customWidth="1"/>
    <col min="11012" max="11012" width="2.109375" style="90" customWidth="1"/>
    <col min="11013" max="11013" width="12.44140625" style="90" customWidth="1"/>
    <col min="11014" max="11014" width="14.5546875" style="90" customWidth="1"/>
    <col min="11015" max="11015" width="5.5546875" style="90" customWidth="1"/>
    <col min="11016" max="11016" width="8.88671875" style="90"/>
    <col min="11017" max="11018" width="14.5546875" style="90" customWidth="1"/>
    <col min="11019" max="11019" width="1.33203125" style="90" customWidth="1"/>
    <col min="11020" max="11020" width="13.21875" style="90" customWidth="1"/>
    <col min="11021" max="11264" width="8" style="90" customWidth="1"/>
    <col min="11265" max="11265" width="11.44140625" style="90" customWidth="1"/>
    <col min="11266" max="11266" width="3.21875" style="90" customWidth="1"/>
    <col min="11267" max="11267" width="12.6640625" style="90" customWidth="1"/>
    <col min="11268" max="11268" width="2.109375" style="90" customWidth="1"/>
    <col min="11269" max="11269" width="12.44140625" style="90" customWidth="1"/>
    <col min="11270" max="11270" width="14.5546875" style="90" customWidth="1"/>
    <col min="11271" max="11271" width="5.5546875" style="90" customWidth="1"/>
    <col min="11272" max="11272" width="8.88671875" style="90"/>
    <col min="11273" max="11274" width="14.5546875" style="90" customWidth="1"/>
    <col min="11275" max="11275" width="1.33203125" style="90" customWidth="1"/>
    <col min="11276" max="11276" width="13.21875" style="90" customWidth="1"/>
    <col min="11277" max="11520" width="8" style="90" customWidth="1"/>
    <col min="11521" max="11521" width="11.44140625" style="90" customWidth="1"/>
    <col min="11522" max="11522" width="3.21875" style="90" customWidth="1"/>
    <col min="11523" max="11523" width="12.6640625" style="90" customWidth="1"/>
    <col min="11524" max="11524" width="2.109375" style="90" customWidth="1"/>
    <col min="11525" max="11525" width="12.44140625" style="90" customWidth="1"/>
    <col min="11526" max="11526" width="14.5546875" style="90" customWidth="1"/>
    <col min="11527" max="11527" width="5.5546875" style="90" customWidth="1"/>
    <col min="11528" max="11528" width="8.88671875" style="90"/>
    <col min="11529" max="11530" width="14.5546875" style="90" customWidth="1"/>
    <col min="11531" max="11531" width="1.33203125" style="90" customWidth="1"/>
    <col min="11532" max="11532" width="13.21875" style="90" customWidth="1"/>
    <col min="11533" max="11776" width="8" style="90" customWidth="1"/>
    <col min="11777" max="11777" width="11.44140625" style="90" customWidth="1"/>
    <col min="11778" max="11778" width="3.21875" style="90" customWidth="1"/>
    <col min="11779" max="11779" width="12.6640625" style="90" customWidth="1"/>
    <col min="11780" max="11780" width="2.109375" style="90" customWidth="1"/>
    <col min="11781" max="11781" width="12.44140625" style="90" customWidth="1"/>
    <col min="11782" max="11782" width="14.5546875" style="90" customWidth="1"/>
    <col min="11783" max="11783" width="5.5546875" style="90" customWidth="1"/>
    <col min="11784" max="11784" width="8.88671875" style="90"/>
    <col min="11785" max="11786" width="14.5546875" style="90" customWidth="1"/>
    <col min="11787" max="11787" width="1.33203125" style="90" customWidth="1"/>
    <col min="11788" max="11788" width="13.21875" style="90" customWidth="1"/>
    <col min="11789" max="12032" width="8" style="90" customWidth="1"/>
    <col min="12033" max="12033" width="11.44140625" style="90" customWidth="1"/>
    <col min="12034" max="12034" width="3.21875" style="90" customWidth="1"/>
    <col min="12035" max="12035" width="12.6640625" style="90" customWidth="1"/>
    <col min="12036" max="12036" width="2.109375" style="90" customWidth="1"/>
    <col min="12037" max="12037" width="12.44140625" style="90" customWidth="1"/>
    <col min="12038" max="12038" width="14.5546875" style="90" customWidth="1"/>
    <col min="12039" max="12039" width="5.5546875" style="90" customWidth="1"/>
    <col min="12040" max="12040" width="8.88671875" style="90"/>
    <col min="12041" max="12042" width="14.5546875" style="90" customWidth="1"/>
    <col min="12043" max="12043" width="1.33203125" style="90" customWidth="1"/>
    <col min="12044" max="12044" width="13.21875" style="90" customWidth="1"/>
    <col min="12045" max="12288" width="8" style="90" customWidth="1"/>
    <col min="12289" max="12289" width="11.44140625" style="90" customWidth="1"/>
    <col min="12290" max="12290" width="3.21875" style="90" customWidth="1"/>
    <col min="12291" max="12291" width="12.6640625" style="90" customWidth="1"/>
    <col min="12292" max="12292" width="2.109375" style="90" customWidth="1"/>
    <col min="12293" max="12293" width="12.44140625" style="90" customWidth="1"/>
    <col min="12294" max="12294" width="14.5546875" style="90" customWidth="1"/>
    <col min="12295" max="12295" width="5.5546875" style="90" customWidth="1"/>
    <col min="12296" max="12296" width="8.88671875" style="90"/>
    <col min="12297" max="12298" width="14.5546875" style="90" customWidth="1"/>
    <col min="12299" max="12299" width="1.33203125" style="90" customWidth="1"/>
    <col min="12300" max="12300" width="13.21875" style="90" customWidth="1"/>
    <col min="12301" max="12544" width="8" style="90" customWidth="1"/>
    <col min="12545" max="12545" width="11.44140625" style="90" customWidth="1"/>
    <col min="12546" max="12546" width="3.21875" style="90" customWidth="1"/>
    <col min="12547" max="12547" width="12.6640625" style="90" customWidth="1"/>
    <col min="12548" max="12548" width="2.109375" style="90" customWidth="1"/>
    <col min="12549" max="12549" width="12.44140625" style="90" customWidth="1"/>
    <col min="12550" max="12550" width="14.5546875" style="90" customWidth="1"/>
    <col min="12551" max="12551" width="5.5546875" style="90" customWidth="1"/>
    <col min="12552" max="12552" width="8.88671875" style="90"/>
    <col min="12553" max="12554" width="14.5546875" style="90" customWidth="1"/>
    <col min="12555" max="12555" width="1.33203125" style="90" customWidth="1"/>
    <col min="12556" max="12556" width="13.21875" style="90" customWidth="1"/>
    <col min="12557" max="12800" width="8" style="90" customWidth="1"/>
    <col min="12801" max="12801" width="11.44140625" style="90" customWidth="1"/>
    <col min="12802" max="12802" width="3.21875" style="90" customWidth="1"/>
    <col min="12803" max="12803" width="12.6640625" style="90" customWidth="1"/>
    <col min="12804" max="12804" width="2.109375" style="90" customWidth="1"/>
    <col min="12805" max="12805" width="12.44140625" style="90" customWidth="1"/>
    <col min="12806" max="12806" width="14.5546875" style="90" customWidth="1"/>
    <col min="12807" max="12807" width="5.5546875" style="90" customWidth="1"/>
    <col min="12808" max="12808" width="8.88671875" style="90"/>
    <col min="12809" max="12810" width="14.5546875" style="90" customWidth="1"/>
    <col min="12811" max="12811" width="1.33203125" style="90" customWidth="1"/>
    <col min="12812" max="12812" width="13.21875" style="90" customWidth="1"/>
    <col min="12813" max="13056" width="8" style="90" customWidth="1"/>
    <col min="13057" max="13057" width="11.44140625" style="90" customWidth="1"/>
    <col min="13058" max="13058" width="3.21875" style="90" customWidth="1"/>
    <col min="13059" max="13059" width="12.6640625" style="90" customWidth="1"/>
    <col min="13060" max="13060" width="2.109375" style="90" customWidth="1"/>
    <col min="13061" max="13061" width="12.44140625" style="90" customWidth="1"/>
    <col min="13062" max="13062" width="14.5546875" style="90" customWidth="1"/>
    <col min="13063" max="13063" width="5.5546875" style="90" customWidth="1"/>
    <col min="13064" max="13064" width="8.88671875" style="90"/>
    <col min="13065" max="13066" width="14.5546875" style="90" customWidth="1"/>
    <col min="13067" max="13067" width="1.33203125" style="90" customWidth="1"/>
    <col min="13068" max="13068" width="13.21875" style="90" customWidth="1"/>
    <col min="13069" max="13312" width="8" style="90" customWidth="1"/>
    <col min="13313" max="13313" width="11.44140625" style="90" customWidth="1"/>
    <col min="13314" max="13314" width="3.21875" style="90" customWidth="1"/>
    <col min="13315" max="13315" width="12.6640625" style="90" customWidth="1"/>
    <col min="13316" max="13316" width="2.109375" style="90" customWidth="1"/>
    <col min="13317" max="13317" width="12.44140625" style="90" customWidth="1"/>
    <col min="13318" max="13318" width="14.5546875" style="90" customWidth="1"/>
    <col min="13319" max="13319" width="5.5546875" style="90" customWidth="1"/>
    <col min="13320" max="13320" width="8.88671875" style="90"/>
    <col min="13321" max="13322" width="14.5546875" style="90" customWidth="1"/>
    <col min="13323" max="13323" width="1.33203125" style="90" customWidth="1"/>
    <col min="13324" max="13324" width="13.21875" style="90" customWidth="1"/>
    <col min="13325" max="13568" width="8" style="90" customWidth="1"/>
    <col min="13569" max="13569" width="11.44140625" style="90" customWidth="1"/>
    <col min="13570" max="13570" width="3.21875" style="90" customWidth="1"/>
    <col min="13571" max="13571" width="12.6640625" style="90" customWidth="1"/>
    <col min="13572" max="13572" width="2.109375" style="90" customWidth="1"/>
    <col min="13573" max="13573" width="12.44140625" style="90" customWidth="1"/>
    <col min="13574" max="13574" width="14.5546875" style="90" customWidth="1"/>
    <col min="13575" max="13575" width="5.5546875" style="90" customWidth="1"/>
    <col min="13576" max="13576" width="8.88671875" style="90"/>
    <col min="13577" max="13578" width="14.5546875" style="90" customWidth="1"/>
    <col min="13579" max="13579" width="1.33203125" style="90" customWidth="1"/>
    <col min="13580" max="13580" width="13.21875" style="90" customWidth="1"/>
    <col min="13581" max="13824" width="8" style="90" customWidth="1"/>
    <col min="13825" max="13825" width="11.44140625" style="90" customWidth="1"/>
    <col min="13826" max="13826" width="3.21875" style="90" customWidth="1"/>
    <col min="13827" max="13827" width="12.6640625" style="90" customWidth="1"/>
    <col min="13828" max="13828" width="2.109375" style="90" customWidth="1"/>
    <col min="13829" max="13829" width="12.44140625" style="90" customWidth="1"/>
    <col min="13830" max="13830" width="14.5546875" style="90" customWidth="1"/>
    <col min="13831" max="13831" width="5.5546875" style="90" customWidth="1"/>
    <col min="13832" max="13832" width="8.88671875" style="90"/>
    <col min="13833" max="13834" width="14.5546875" style="90" customWidth="1"/>
    <col min="13835" max="13835" width="1.33203125" style="90" customWidth="1"/>
    <col min="13836" max="13836" width="13.21875" style="90" customWidth="1"/>
    <col min="13837" max="14080" width="8" style="90" customWidth="1"/>
    <col min="14081" max="14081" width="11.44140625" style="90" customWidth="1"/>
    <col min="14082" max="14082" width="3.21875" style="90" customWidth="1"/>
    <col min="14083" max="14083" width="12.6640625" style="90" customWidth="1"/>
    <col min="14084" max="14084" width="2.109375" style="90" customWidth="1"/>
    <col min="14085" max="14085" width="12.44140625" style="90" customWidth="1"/>
    <col min="14086" max="14086" width="14.5546875" style="90" customWidth="1"/>
    <col min="14087" max="14087" width="5.5546875" style="90" customWidth="1"/>
    <col min="14088" max="14088" width="8.88671875" style="90"/>
    <col min="14089" max="14090" width="14.5546875" style="90" customWidth="1"/>
    <col min="14091" max="14091" width="1.33203125" style="90" customWidth="1"/>
    <col min="14092" max="14092" width="13.21875" style="90" customWidth="1"/>
    <col min="14093" max="14336" width="8" style="90" customWidth="1"/>
    <col min="14337" max="14337" width="11.44140625" style="90" customWidth="1"/>
    <col min="14338" max="14338" width="3.21875" style="90" customWidth="1"/>
    <col min="14339" max="14339" width="12.6640625" style="90" customWidth="1"/>
    <col min="14340" max="14340" width="2.109375" style="90" customWidth="1"/>
    <col min="14341" max="14341" width="12.44140625" style="90" customWidth="1"/>
    <col min="14342" max="14342" width="14.5546875" style="90" customWidth="1"/>
    <col min="14343" max="14343" width="5.5546875" style="90" customWidth="1"/>
    <col min="14344" max="14344" width="8.88671875" style="90"/>
    <col min="14345" max="14346" width="14.5546875" style="90" customWidth="1"/>
    <col min="14347" max="14347" width="1.33203125" style="90" customWidth="1"/>
    <col min="14348" max="14348" width="13.21875" style="90" customWidth="1"/>
    <col min="14349" max="14592" width="8" style="90" customWidth="1"/>
    <col min="14593" max="14593" width="11.44140625" style="90" customWidth="1"/>
    <col min="14594" max="14594" width="3.21875" style="90" customWidth="1"/>
    <col min="14595" max="14595" width="12.6640625" style="90" customWidth="1"/>
    <col min="14596" max="14596" width="2.109375" style="90" customWidth="1"/>
    <col min="14597" max="14597" width="12.44140625" style="90" customWidth="1"/>
    <col min="14598" max="14598" width="14.5546875" style="90" customWidth="1"/>
    <col min="14599" max="14599" width="5.5546875" style="90" customWidth="1"/>
    <col min="14600" max="14600" width="8.88671875" style="90"/>
    <col min="14601" max="14602" width="14.5546875" style="90" customWidth="1"/>
    <col min="14603" max="14603" width="1.33203125" style="90" customWidth="1"/>
    <col min="14604" max="14604" width="13.21875" style="90" customWidth="1"/>
    <col min="14605" max="14848" width="8" style="90" customWidth="1"/>
    <col min="14849" max="14849" width="11.44140625" style="90" customWidth="1"/>
    <col min="14850" max="14850" width="3.21875" style="90" customWidth="1"/>
    <col min="14851" max="14851" width="12.6640625" style="90" customWidth="1"/>
    <col min="14852" max="14852" width="2.109375" style="90" customWidth="1"/>
    <col min="14853" max="14853" width="12.44140625" style="90" customWidth="1"/>
    <col min="14854" max="14854" width="14.5546875" style="90" customWidth="1"/>
    <col min="14855" max="14855" width="5.5546875" style="90" customWidth="1"/>
    <col min="14856" max="14856" width="8.88671875" style="90"/>
    <col min="14857" max="14858" width="14.5546875" style="90" customWidth="1"/>
    <col min="14859" max="14859" width="1.33203125" style="90" customWidth="1"/>
    <col min="14860" max="14860" width="13.21875" style="90" customWidth="1"/>
    <col min="14861" max="15104" width="8" style="90" customWidth="1"/>
    <col min="15105" max="15105" width="11.44140625" style="90" customWidth="1"/>
    <col min="15106" max="15106" width="3.21875" style="90" customWidth="1"/>
    <col min="15107" max="15107" width="12.6640625" style="90" customWidth="1"/>
    <col min="15108" max="15108" width="2.109375" style="90" customWidth="1"/>
    <col min="15109" max="15109" width="12.44140625" style="90" customWidth="1"/>
    <col min="15110" max="15110" width="14.5546875" style="90" customWidth="1"/>
    <col min="15111" max="15111" width="5.5546875" style="90" customWidth="1"/>
    <col min="15112" max="15112" width="8.88671875" style="90"/>
    <col min="15113" max="15114" width="14.5546875" style="90" customWidth="1"/>
    <col min="15115" max="15115" width="1.33203125" style="90" customWidth="1"/>
    <col min="15116" max="15116" width="13.21875" style="90" customWidth="1"/>
    <col min="15117" max="15360" width="8" style="90" customWidth="1"/>
    <col min="15361" max="15361" width="11.44140625" style="90" customWidth="1"/>
    <col min="15362" max="15362" width="3.21875" style="90" customWidth="1"/>
    <col min="15363" max="15363" width="12.6640625" style="90" customWidth="1"/>
    <col min="15364" max="15364" width="2.109375" style="90" customWidth="1"/>
    <col min="15365" max="15365" width="12.44140625" style="90" customWidth="1"/>
    <col min="15366" max="15366" width="14.5546875" style="90" customWidth="1"/>
    <col min="15367" max="15367" width="5.5546875" style="90" customWidth="1"/>
    <col min="15368" max="15368" width="8.88671875" style="90"/>
    <col min="15369" max="15370" width="14.5546875" style="90" customWidth="1"/>
    <col min="15371" max="15371" width="1.33203125" style="90" customWidth="1"/>
    <col min="15372" max="15372" width="13.21875" style="90" customWidth="1"/>
    <col min="15373" max="15616" width="8" style="90" customWidth="1"/>
    <col min="15617" max="15617" width="11.44140625" style="90" customWidth="1"/>
    <col min="15618" max="15618" width="3.21875" style="90" customWidth="1"/>
    <col min="15619" max="15619" width="12.6640625" style="90" customWidth="1"/>
    <col min="15620" max="15620" width="2.109375" style="90" customWidth="1"/>
    <col min="15621" max="15621" width="12.44140625" style="90" customWidth="1"/>
    <col min="15622" max="15622" width="14.5546875" style="90" customWidth="1"/>
    <col min="15623" max="15623" width="5.5546875" style="90" customWidth="1"/>
    <col min="15624" max="15624" width="8.88671875" style="90"/>
    <col min="15625" max="15626" width="14.5546875" style="90" customWidth="1"/>
    <col min="15627" max="15627" width="1.33203125" style="90" customWidth="1"/>
    <col min="15628" max="15628" width="13.21875" style="90" customWidth="1"/>
    <col min="15629" max="15872" width="8" style="90" customWidth="1"/>
    <col min="15873" max="15873" width="11.44140625" style="90" customWidth="1"/>
    <col min="15874" max="15874" width="3.21875" style="90" customWidth="1"/>
    <col min="15875" max="15875" width="12.6640625" style="90" customWidth="1"/>
    <col min="15876" max="15876" width="2.109375" style="90" customWidth="1"/>
    <col min="15877" max="15877" width="12.44140625" style="90" customWidth="1"/>
    <col min="15878" max="15878" width="14.5546875" style="90" customWidth="1"/>
    <col min="15879" max="15879" width="5.5546875" style="90" customWidth="1"/>
    <col min="15880" max="15880" width="8.88671875" style="90"/>
    <col min="15881" max="15882" width="14.5546875" style="90" customWidth="1"/>
    <col min="15883" max="15883" width="1.33203125" style="90" customWidth="1"/>
    <col min="15884" max="15884" width="13.21875" style="90" customWidth="1"/>
    <col min="15885" max="16128" width="8" style="90" customWidth="1"/>
    <col min="16129" max="16129" width="11.44140625" style="90" customWidth="1"/>
    <col min="16130" max="16130" width="3.21875" style="90" customWidth="1"/>
    <col min="16131" max="16131" width="12.6640625" style="90" customWidth="1"/>
    <col min="16132" max="16132" width="2.109375" style="90" customWidth="1"/>
    <col min="16133" max="16133" width="12.44140625" style="90" customWidth="1"/>
    <col min="16134" max="16134" width="14.5546875" style="90" customWidth="1"/>
    <col min="16135" max="16135" width="5.5546875" style="90" customWidth="1"/>
    <col min="16136" max="16136" width="8.88671875" style="90"/>
    <col min="16137" max="16138" width="14.5546875" style="90" customWidth="1"/>
    <col min="16139" max="16139" width="1.33203125" style="90" customWidth="1"/>
    <col min="16140" max="16140" width="13.21875" style="90" customWidth="1"/>
    <col min="16141" max="16384" width="8" style="90" customWidth="1"/>
  </cols>
  <sheetData>
    <row r="1" spans="1:16" ht="12.75" customHeight="1">
      <c r="A1" s="244" t="s">
        <v>266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6" ht="15.75" customHeight="1">
      <c r="A2" s="245" t="s">
        <v>267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6" ht="1.95" customHeight="1"/>
    <row r="4" spans="1:16" ht="11.25" customHeight="1">
      <c r="A4" s="246" t="s">
        <v>268</v>
      </c>
      <c r="B4" s="246"/>
      <c r="C4" s="246" t="s">
        <v>269</v>
      </c>
      <c r="D4" s="246"/>
      <c r="E4" s="246"/>
      <c r="F4" s="246"/>
      <c r="G4" s="246"/>
      <c r="H4" s="246"/>
      <c r="I4" s="246"/>
      <c r="J4" s="246"/>
      <c r="K4" s="246"/>
    </row>
    <row r="5" spans="1:16" ht="1.95" customHeight="1"/>
    <row r="6" spans="1:16" ht="10.050000000000001" customHeight="1"/>
    <row r="7" spans="1:16" ht="12.75" customHeight="1" outlineLevel="1">
      <c r="A7" s="91" t="s">
        <v>270</v>
      </c>
      <c r="B7" s="91" t="s">
        <v>271</v>
      </c>
      <c r="C7" s="91"/>
      <c r="D7" s="91"/>
    </row>
    <row r="8" spans="1:16" ht="10.050000000000001" customHeight="1"/>
    <row r="9" spans="1:16" ht="12" customHeight="1">
      <c r="A9" s="247" t="s">
        <v>272</v>
      </c>
      <c r="B9" s="247"/>
      <c r="C9" s="247"/>
      <c r="D9" s="251" t="s">
        <v>273</v>
      </c>
      <c r="E9" s="251"/>
      <c r="F9" s="251"/>
      <c r="G9" s="251" t="s">
        <v>274</v>
      </c>
      <c r="H9" s="251"/>
      <c r="I9" s="251"/>
      <c r="J9" s="251" t="s">
        <v>275</v>
      </c>
      <c r="K9" s="251"/>
      <c r="L9" s="251"/>
    </row>
    <row r="10" spans="1:16" ht="12" customHeight="1">
      <c r="A10" s="248"/>
      <c r="B10" s="249"/>
      <c r="C10" s="250"/>
      <c r="D10" s="251" t="s">
        <v>276</v>
      </c>
      <c r="E10" s="251"/>
      <c r="F10" s="92" t="s">
        <v>277</v>
      </c>
      <c r="G10" s="251" t="s">
        <v>276</v>
      </c>
      <c r="H10" s="251"/>
      <c r="I10" s="92" t="s">
        <v>277</v>
      </c>
      <c r="J10" s="92" t="s">
        <v>276</v>
      </c>
      <c r="K10" s="251" t="s">
        <v>277</v>
      </c>
      <c r="L10" s="251"/>
    </row>
    <row r="11" spans="1:16" ht="12" customHeight="1">
      <c r="A11" s="255" t="s">
        <v>278</v>
      </c>
      <c r="B11" s="255"/>
      <c r="C11" s="255"/>
      <c r="D11" s="253">
        <v>8169292329.289999</v>
      </c>
      <c r="E11" s="253"/>
      <c r="F11" s="94"/>
      <c r="G11" s="253">
        <v>56037290509.089996</v>
      </c>
      <c r="H11" s="253"/>
      <c r="I11" s="93">
        <v>53667963381.310005</v>
      </c>
      <c r="J11" s="93">
        <v>10538619457.07</v>
      </c>
      <c r="K11" s="95"/>
      <c r="L11" s="96"/>
      <c r="M11" s="90" t="s">
        <v>467</v>
      </c>
      <c r="N11" s="114">
        <f>(J11+J51)/1000</f>
        <v>14859469.516689999</v>
      </c>
      <c r="O11" s="114">
        <f>(D11+D51)/1000</f>
        <v>12061608.107029999</v>
      </c>
    </row>
    <row r="12" spans="1:16" ht="12" customHeight="1" outlineLevel="1">
      <c r="A12" s="256" t="s">
        <v>279</v>
      </c>
      <c r="B12" s="256"/>
      <c r="C12" s="256"/>
      <c r="D12" s="253">
        <v>1389086579.05</v>
      </c>
      <c r="E12" s="253"/>
      <c r="F12" s="94"/>
      <c r="G12" s="253">
        <v>41176115953.050003</v>
      </c>
      <c r="H12" s="253"/>
      <c r="I12" s="93">
        <v>41491904987.409996</v>
      </c>
      <c r="J12" s="93">
        <v>1073297544.6900001</v>
      </c>
      <c r="K12" s="95"/>
      <c r="L12" s="96"/>
      <c r="M12" s="90" t="s">
        <v>468</v>
      </c>
      <c r="N12" s="99">
        <f>(K80+K120+K127)/1000</f>
        <v>14859469.516689999</v>
      </c>
      <c r="O12" s="99">
        <f>(F80+F120+F127)/1000</f>
        <v>12061608.107030001</v>
      </c>
    </row>
    <row r="13" spans="1:16" ht="12" customHeight="1" outlineLevel="2">
      <c r="A13" s="252" t="s">
        <v>280</v>
      </c>
      <c r="B13" s="252"/>
      <c r="C13" s="252"/>
      <c r="D13" s="95"/>
      <c r="E13" s="96"/>
      <c r="F13" s="94"/>
      <c r="G13" s="253">
        <v>17380834962.02</v>
      </c>
      <c r="H13" s="253"/>
      <c r="I13" s="93">
        <v>17380834962.02</v>
      </c>
      <c r="J13" s="94"/>
      <c r="K13" s="95"/>
      <c r="L13" s="96"/>
      <c r="O13" s="114">
        <v>12079435</v>
      </c>
      <c r="P13" s="90" t="s">
        <v>469</v>
      </c>
    </row>
    <row r="14" spans="1:16" ht="21.75" customHeight="1" outlineLevel="3">
      <c r="A14" s="254" t="s">
        <v>281</v>
      </c>
      <c r="B14" s="254"/>
      <c r="C14" s="254"/>
      <c r="D14" s="95"/>
      <c r="E14" s="96"/>
      <c r="F14" s="94"/>
      <c r="G14" s="253">
        <v>12441267354.359999</v>
      </c>
      <c r="H14" s="253"/>
      <c r="I14" s="93">
        <v>12441267354.359999</v>
      </c>
      <c r="J14" s="94"/>
      <c r="K14" s="95"/>
      <c r="L14" s="96"/>
      <c r="O14" s="114">
        <f>O13-O12</f>
        <v>17826.892969999462</v>
      </c>
    </row>
    <row r="15" spans="1:16" ht="21.75" customHeight="1" outlineLevel="3">
      <c r="A15" s="254" t="s">
        <v>282</v>
      </c>
      <c r="B15" s="254"/>
      <c r="C15" s="254"/>
      <c r="D15" s="95"/>
      <c r="E15" s="96"/>
      <c r="F15" s="94"/>
      <c r="G15" s="253">
        <v>4939567607.6599998</v>
      </c>
      <c r="H15" s="253"/>
      <c r="I15" s="93">
        <v>4939567607.6599998</v>
      </c>
      <c r="J15" s="94"/>
      <c r="K15" s="95"/>
      <c r="L15" s="96"/>
    </row>
    <row r="16" spans="1:16" ht="21.75" customHeight="1" outlineLevel="2">
      <c r="A16" s="252" t="s">
        <v>283</v>
      </c>
      <c r="B16" s="252"/>
      <c r="C16" s="252"/>
      <c r="D16" s="253">
        <v>119771.19</v>
      </c>
      <c r="E16" s="253"/>
      <c r="F16" s="94"/>
      <c r="G16" s="253">
        <v>17285973311.189999</v>
      </c>
      <c r="H16" s="253"/>
      <c r="I16" s="93">
        <v>17286041323.099998</v>
      </c>
      <c r="J16" s="93">
        <v>51759.28</v>
      </c>
      <c r="K16" s="95"/>
      <c r="L16" s="96"/>
      <c r="N16" s="115" t="s">
        <v>464</v>
      </c>
      <c r="O16" s="116" t="s">
        <v>465</v>
      </c>
      <c r="P16" s="90" t="s">
        <v>466</v>
      </c>
    </row>
    <row r="17" spans="1:16" ht="21.75" customHeight="1" outlineLevel="2">
      <c r="A17" s="252" t="s">
        <v>284</v>
      </c>
      <c r="B17" s="252"/>
      <c r="C17" s="252"/>
      <c r="D17" s="253">
        <v>1310718829.8599999</v>
      </c>
      <c r="E17" s="253"/>
      <c r="F17" s="94"/>
      <c r="G17" s="253">
        <v>6509307679.8400002</v>
      </c>
      <c r="H17" s="253"/>
      <c r="I17" s="93">
        <v>6825028702.29</v>
      </c>
      <c r="J17" s="93">
        <v>994997807.40999997</v>
      </c>
      <c r="K17" s="95"/>
      <c r="L17" s="96"/>
      <c r="M17" s="90" t="s">
        <v>453</v>
      </c>
      <c r="N17" s="99">
        <f>(J16+J17)/1000</f>
        <v>995049.56668999989</v>
      </c>
      <c r="O17" s="237">
        <f>(D16+D17)/1000</f>
        <v>1310838.6010499999</v>
      </c>
      <c r="P17" s="99">
        <f>O17-ОФП!D20</f>
        <v>-0.39895000006072223</v>
      </c>
    </row>
    <row r="18" spans="1:16" ht="21.75" customHeight="1" outlineLevel="2">
      <c r="A18" s="252" t="s">
        <v>285</v>
      </c>
      <c r="B18" s="252"/>
      <c r="C18" s="252"/>
      <c r="D18" s="253">
        <v>105878046</v>
      </c>
      <c r="E18" s="253"/>
      <c r="F18" s="94"/>
      <c r="G18" s="95"/>
      <c r="H18" s="96"/>
      <c r="I18" s="94"/>
      <c r="J18" s="93">
        <v>105878046</v>
      </c>
      <c r="K18" s="95"/>
      <c r="L18" s="96"/>
      <c r="M18" s="90" t="s">
        <v>449</v>
      </c>
      <c r="N18" s="99">
        <f>(J18-K19+J53-K55)/1000</f>
        <v>89814.347569999998</v>
      </c>
      <c r="O18" s="99">
        <f>(D18-F19+D53-F55)/1000</f>
        <v>85614.034950000001</v>
      </c>
      <c r="P18" s="99">
        <f>O18-ОФП!D13</f>
        <v>3.4950000001117587E-2</v>
      </c>
    </row>
    <row r="19" spans="1:16" ht="21.75" customHeight="1" outlineLevel="2">
      <c r="A19" s="252" t="s">
        <v>286</v>
      </c>
      <c r="B19" s="252"/>
      <c r="C19" s="252"/>
      <c r="D19" s="95"/>
      <c r="E19" s="96"/>
      <c r="F19" s="93">
        <v>27630068</v>
      </c>
      <c r="G19" s="95"/>
      <c r="H19" s="96"/>
      <c r="I19" s="94"/>
      <c r="J19" s="94"/>
      <c r="K19" s="253">
        <v>27630068</v>
      </c>
      <c r="L19" s="253"/>
    </row>
    <row r="20" spans="1:16" ht="21.75" customHeight="1" outlineLevel="1">
      <c r="A20" s="256" t="s">
        <v>287</v>
      </c>
      <c r="B20" s="256"/>
      <c r="C20" s="256"/>
      <c r="D20" s="253">
        <v>2396677470.79</v>
      </c>
      <c r="E20" s="253"/>
      <c r="F20" s="94"/>
      <c r="G20" s="253">
        <v>7995291252.3899994</v>
      </c>
      <c r="H20" s="253"/>
      <c r="I20" s="93">
        <v>6605157731.8800001</v>
      </c>
      <c r="J20" s="93">
        <v>3786810991.2999997</v>
      </c>
      <c r="K20" s="95"/>
      <c r="L20" s="96"/>
      <c r="M20" s="90" t="s">
        <v>454</v>
      </c>
      <c r="N20" s="99">
        <f>J20/1000</f>
        <v>3786810.9912999999</v>
      </c>
      <c r="O20" s="120">
        <f>D20/1000</f>
        <v>2396677.4707900002</v>
      </c>
      <c r="P20" s="99">
        <f>ОФП!D19-O20</f>
        <v>-0.47079000016674399</v>
      </c>
    </row>
    <row r="21" spans="1:16" ht="32.25" customHeight="1" outlineLevel="2">
      <c r="A21" s="252" t="s">
        <v>288</v>
      </c>
      <c r="B21" s="252"/>
      <c r="C21" s="252"/>
      <c r="D21" s="253">
        <v>1886653777.0899999</v>
      </c>
      <c r="E21" s="253"/>
      <c r="F21" s="94"/>
      <c r="G21" s="253">
        <v>7973621497.46</v>
      </c>
      <c r="H21" s="253"/>
      <c r="I21" s="93">
        <v>6584058525.7600002</v>
      </c>
      <c r="J21" s="93">
        <v>3276216748.79</v>
      </c>
      <c r="K21" s="95"/>
      <c r="L21" s="96"/>
    </row>
    <row r="22" spans="1:16" ht="21.75" customHeight="1" outlineLevel="2">
      <c r="A22" s="252" t="s">
        <v>289</v>
      </c>
      <c r="B22" s="252"/>
      <c r="C22" s="252"/>
      <c r="D22" s="95"/>
      <c r="E22" s="96"/>
      <c r="F22" s="94"/>
      <c r="G22" s="253">
        <v>6880510.8300000001</v>
      </c>
      <c r="H22" s="253"/>
      <c r="I22" s="93">
        <v>6868258.8300000001</v>
      </c>
      <c r="J22" s="93">
        <v>12252</v>
      </c>
      <c r="K22" s="95"/>
      <c r="L22" s="96"/>
    </row>
    <row r="23" spans="1:16" ht="21.75" customHeight="1" outlineLevel="3">
      <c r="A23" s="254" t="s">
        <v>290</v>
      </c>
      <c r="B23" s="254"/>
      <c r="C23" s="254"/>
      <c r="D23" s="95"/>
      <c r="E23" s="96"/>
      <c r="F23" s="94"/>
      <c r="G23" s="253">
        <v>5080957</v>
      </c>
      <c r="H23" s="253"/>
      <c r="I23" s="93">
        <v>5068705</v>
      </c>
      <c r="J23" s="93">
        <v>12252</v>
      </c>
      <c r="K23" s="95"/>
      <c r="L23" s="96"/>
    </row>
    <row r="24" spans="1:16" ht="21.75" customHeight="1" outlineLevel="3">
      <c r="A24" s="254" t="s">
        <v>291</v>
      </c>
      <c r="B24" s="254"/>
      <c r="C24" s="254"/>
      <c r="D24" s="95"/>
      <c r="E24" s="96"/>
      <c r="F24" s="94"/>
      <c r="G24" s="253">
        <v>1799553.83</v>
      </c>
      <c r="H24" s="253"/>
      <c r="I24" s="93">
        <v>1799553.83</v>
      </c>
      <c r="J24" s="94"/>
      <c r="K24" s="95"/>
      <c r="L24" s="96"/>
    </row>
    <row r="25" spans="1:16" ht="21.75" customHeight="1" outlineLevel="2">
      <c r="A25" s="252" t="s">
        <v>292</v>
      </c>
      <c r="B25" s="252"/>
      <c r="C25" s="252"/>
      <c r="D25" s="253">
        <v>644540875.80999994</v>
      </c>
      <c r="E25" s="253"/>
      <c r="F25" s="94"/>
      <c r="G25" s="253">
        <v>14789244.1</v>
      </c>
      <c r="H25" s="253"/>
      <c r="I25" s="93">
        <v>14230947.289999999</v>
      </c>
      <c r="J25" s="93">
        <v>645099172.62</v>
      </c>
      <c r="K25" s="95"/>
      <c r="L25" s="96"/>
    </row>
    <row r="26" spans="1:16" ht="32.25" customHeight="1" outlineLevel="3">
      <c r="A26" s="254" t="s">
        <v>293</v>
      </c>
      <c r="B26" s="254"/>
      <c r="C26" s="254"/>
      <c r="D26" s="257">
        <v>10</v>
      </c>
      <c r="E26" s="257"/>
      <c r="F26" s="94"/>
      <c r="G26" s="95"/>
      <c r="H26" s="96"/>
      <c r="I26" s="94"/>
      <c r="J26" s="97">
        <v>10</v>
      </c>
      <c r="K26" s="95"/>
      <c r="L26" s="96"/>
    </row>
    <row r="27" spans="1:16" ht="21.75" customHeight="1" outlineLevel="3">
      <c r="A27" s="254" t="s">
        <v>294</v>
      </c>
      <c r="B27" s="254"/>
      <c r="C27" s="254"/>
      <c r="D27" s="253">
        <v>644540865.80999994</v>
      </c>
      <c r="E27" s="253"/>
      <c r="F27" s="94"/>
      <c r="G27" s="253">
        <v>14789244.1</v>
      </c>
      <c r="H27" s="253"/>
      <c r="I27" s="93">
        <v>14230947.289999999</v>
      </c>
      <c r="J27" s="93">
        <v>645099162.62</v>
      </c>
      <c r="K27" s="95"/>
      <c r="L27" s="96"/>
    </row>
    <row r="28" spans="1:16" ht="32.25" customHeight="1" outlineLevel="2">
      <c r="A28" s="252" t="s">
        <v>295</v>
      </c>
      <c r="B28" s="252"/>
      <c r="C28" s="252"/>
      <c r="D28" s="95"/>
      <c r="E28" s="96"/>
      <c r="F28" s="93">
        <v>134517182.11000001</v>
      </c>
      <c r="G28" s="95"/>
      <c r="H28" s="96"/>
      <c r="I28" s="94"/>
      <c r="J28" s="94"/>
      <c r="K28" s="253">
        <v>134517182.11000001</v>
      </c>
      <c r="L28" s="253"/>
    </row>
    <row r="29" spans="1:16" ht="12" customHeight="1" outlineLevel="1">
      <c r="A29" s="256" t="s">
        <v>296</v>
      </c>
      <c r="B29" s="256"/>
      <c r="C29" s="256"/>
      <c r="D29" s="253">
        <v>3416911256.9899998</v>
      </c>
      <c r="E29" s="253"/>
      <c r="F29" s="94"/>
      <c r="G29" s="253">
        <v>5309170552.3599997</v>
      </c>
      <c r="H29" s="253"/>
      <c r="I29" s="93">
        <v>4534513234.9899998</v>
      </c>
      <c r="J29" s="93">
        <v>4191568574.3600001</v>
      </c>
      <c r="K29" s="95"/>
      <c r="L29" s="96"/>
      <c r="M29" s="90" t="s">
        <v>450</v>
      </c>
      <c r="N29" s="99">
        <f>J29/1000</f>
        <v>4191568.57436</v>
      </c>
      <c r="O29" s="99">
        <f>D29/1000</f>
        <v>3416911.2569899997</v>
      </c>
      <c r="P29" s="117">
        <f>O29-ОФП!D16</f>
        <v>-17827.743010000326</v>
      </c>
    </row>
    <row r="30" spans="1:16" ht="12" customHeight="1" outlineLevel="2">
      <c r="A30" s="252" t="s">
        <v>297</v>
      </c>
      <c r="B30" s="252"/>
      <c r="C30" s="252"/>
      <c r="D30" s="253">
        <v>472123902.72000003</v>
      </c>
      <c r="E30" s="253"/>
      <c r="F30" s="94"/>
      <c r="G30" s="253">
        <v>1272795033.3</v>
      </c>
      <c r="H30" s="253"/>
      <c r="I30" s="93">
        <v>1439368423.77</v>
      </c>
      <c r="J30" s="93">
        <v>305550512.25</v>
      </c>
      <c r="K30" s="95"/>
      <c r="L30" s="96"/>
    </row>
    <row r="31" spans="1:16" ht="12" customHeight="1" outlineLevel="2">
      <c r="A31" s="252" t="s">
        <v>298</v>
      </c>
      <c r="B31" s="252"/>
      <c r="C31" s="252"/>
      <c r="D31" s="253">
        <v>2664974539.6500001</v>
      </c>
      <c r="E31" s="253"/>
      <c r="F31" s="94"/>
      <c r="G31" s="253">
        <v>4032603190.3600001</v>
      </c>
      <c r="H31" s="253"/>
      <c r="I31" s="93">
        <v>3074240143.8599997</v>
      </c>
      <c r="J31" s="93">
        <v>3623337586.1500001</v>
      </c>
      <c r="K31" s="95"/>
      <c r="L31" s="96"/>
    </row>
    <row r="32" spans="1:16" ht="12" customHeight="1" outlineLevel="2">
      <c r="A32" s="252" t="s">
        <v>299</v>
      </c>
      <c r="B32" s="252"/>
      <c r="C32" s="252"/>
      <c r="D32" s="253">
        <v>279812814.62</v>
      </c>
      <c r="E32" s="253"/>
      <c r="F32" s="94"/>
      <c r="G32" s="95"/>
      <c r="H32" s="96"/>
      <c r="I32" s="93">
        <v>17132338.66</v>
      </c>
      <c r="J32" s="93">
        <v>262680475.96000001</v>
      </c>
      <c r="K32" s="95"/>
      <c r="L32" s="96"/>
    </row>
    <row r="33" spans="1:16" ht="12" customHeight="1" outlineLevel="2">
      <c r="A33" s="252" t="s">
        <v>300</v>
      </c>
      <c r="B33" s="252"/>
      <c r="C33" s="252"/>
      <c r="D33" s="95"/>
      <c r="E33" s="96"/>
      <c r="F33" s="94"/>
      <c r="G33" s="253">
        <v>3772328.7</v>
      </c>
      <c r="H33" s="253"/>
      <c r="I33" s="93">
        <v>3772328.7</v>
      </c>
      <c r="J33" s="94"/>
      <c r="K33" s="95"/>
      <c r="L33" s="96"/>
    </row>
    <row r="34" spans="1:16" ht="32.25" customHeight="1" outlineLevel="3">
      <c r="A34" s="254" t="s">
        <v>301</v>
      </c>
      <c r="B34" s="254"/>
      <c r="C34" s="254"/>
      <c r="D34" s="95"/>
      <c r="E34" s="96"/>
      <c r="F34" s="94"/>
      <c r="G34" s="253">
        <v>3772328.7</v>
      </c>
      <c r="H34" s="253"/>
      <c r="I34" s="93">
        <v>3772328.7</v>
      </c>
      <c r="J34" s="94"/>
      <c r="K34" s="95"/>
      <c r="L34" s="96"/>
    </row>
    <row r="35" spans="1:16" ht="21.75" customHeight="1" outlineLevel="4">
      <c r="A35" s="258" t="s">
        <v>302</v>
      </c>
      <c r="B35" s="258"/>
      <c r="C35" s="258"/>
      <c r="D35" s="95"/>
      <c r="E35" s="96"/>
      <c r="F35" s="94"/>
      <c r="G35" s="253">
        <v>3772328.7</v>
      </c>
      <c r="H35" s="253"/>
      <c r="I35" s="93">
        <v>3772328.7</v>
      </c>
      <c r="J35" s="94"/>
      <c r="K35" s="95"/>
      <c r="L35" s="96"/>
    </row>
    <row r="36" spans="1:16" ht="12" customHeight="1" outlineLevel="1">
      <c r="A36" s="256" t="s">
        <v>303</v>
      </c>
      <c r="B36" s="256"/>
      <c r="C36" s="256"/>
      <c r="D36" s="253">
        <v>935630032.01999998</v>
      </c>
      <c r="E36" s="253"/>
      <c r="F36" s="94"/>
      <c r="G36" s="253">
        <v>535707665.66000003</v>
      </c>
      <c r="H36" s="253"/>
      <c r="I36" s="93">
        <v>587180850.64999998</v>
      </c>
      <c r="J36" s="93">
        <v>884156847.02999997</v>
      </c>
      <c r="K36" s="95"/>
      <c r="L36" s="96"/>
    </row>
    <row r="37" spans="1:16" ht="21.75" customHeight="1" outlineLevel="2">
      <c r="A37" s="252" t="s">
        <v>304</v>
      </c>
      <c r="B37" s="252"/>
      <c r="C37" s="252"/>
      <c r="D37" s="95"/>
      <c r="E37" s="96"/>
      <c r="F37" s="94"/>
      <c r="G37" s="253">
        <v>1566574.82</v>
      </c>
      <c r="H37" s="253"/>
      <c r="I37" s="94"/>
      <c r="J37" s="93">
        <v>1566574.82</v>
      </c>
      <c r="K37" s="95"/>
      <c r="L37" s="96"/>
    </row>
    <row r="38" spans="1:16" ht="21.75" customHeight="1" outlineLevel="3">
      <c r="A38" s="254" t="s">
        <v>305</v>
      </c>
      <c r="B38" s="254"/>
      <c r="C38" s="254"/>
      <c r="D38" s="95"/>
      <c r="E38" s="96"/>
      <c r="F38" s="94"/>
      <c r="G38" s="253">
        <v>1566574.82</v>
      </c>
      <c r="H38" s="253"/>
      <c r="I38" s="94"/>
      <c r="J38" s="93">
        <v>1566574.82</v>
      </c>
      <c r="K38" s="95"/>
      <c r="L38" s="96"/>
      <c r="M38" s="90" t="s">
        <v>452</v>
      </c>
      <c r="N38" s="99">
        <f>J38/1000</f>
        <v>1566.57482</v>
      </c>
      <c r="O38" s="99">
        <f>E38/1000</f>
        <v>0</v>
      </c>
    </row>
    <row r="39" spans="1:16" ht="21.75" customHeight="1" outlineLevel="2">
      <c r="A39" s="252" t="s">
        <v>306</v>
      </c>
      <c r="B39" s="252"/>
      <c r="C39" s="252"/>
      <c r="D39" s="253">
        <v>935292993.16999996</v>
      </c>
      <c r="E39" s="253"/>
      <c r="F39" s="94"/>
      <c r="G39" s="253">
        <v>534113063.18000001</v>
      </c>
      <c r="H39" s="253"/>
      <c r="I39" s="93">
        <v>587140850.64999998</v>
      </c>
      <c r="J39" s="93">
        <v>882265205.70000005</v>
      </c>
      <c r="K39" s="95"/>
      <c r="L39" s="96"/>
    </row>
    <row r="40" spans="1:16" ht="21.75" customHeight="1" outlineLevel="3">
      <c r="A40" s="254" t="s">
        <v>307</v>
      </c>
      <c r="B40" s="254"/>
      <c r="C40" s="254"/>
      <c r="D40" s="253">
        <v>884364825.38</v>
      </c>
      <c r="E40" s="253"/>
      <c r="F40" s="94"/>
      <c r="G40" s="253">
        <v>278128646.63999999</v>
      </c>
      <c r="H40" s="253"/>
      <c r="I40" s="93">
        <v>343321286.00999999</v>
      </c>
      <c r="J40" s="93">
        <v>819172186.00999999</v>
      </c>
      <c r="K40" s="95"/>
      <c r="L40" s="96"/>
    </row>
    <row r="41" spans="1:16" ht="21.75" customHeight="1" outlineLevel="3">
      <c r="A41" s="254" t="s">
        <v>308</v>
      </c>
      <c r="B41" s="254"/>
      <c r="C41" s="254"/>
      <c r="D41" s="253">
        <v>50928167.789999999</v>
      </c>
      <c r="E41" s="253"/>
      <c r="F41" s="94"/>
      <c r="G41" s="253">
        <v>255984416.53999999</v>
      </c>
      <c r="H41" s="253"/>
      <c r="I41" s="93">
        <v>243819564.63999999</v>
      </c>
      <c r="J41" s="93">
        <v>63093019.689999998</v>
      </c>
      <c r="K41" s="95"/>
      <c r="L41" s="96"/>
    </row>
    <row r="42" spans="1:16" ht="21.75" customHeight="1" outlineLevel="4">
      <c r="A42" s="258" t="s">
        <v>309</v>
      </c>
      <c r="B42" s="258"/>
      <c r="C42" s="258"/>
      <c r="D42" s="253">
        <v>2533738.79</v>
      </c>
      <c r="E42" s="253"/>
      <c r="F42" s="94"/>
      <c r="G42" s="253">
        <v>167994066.43000001</v>
      </c>
      <c r="H42" s="253"/>
      <c r="I42" s="93">
        <v>165588181.53</v>
      </c>
      <c r="J42" s="93">
        <v>4939623.6900000004</v>
      </c>
      <c r="K42" s="95"/>
      <c r="L42" s="96"/>
    </row>
    <row r="43" spans="1:16" ht="32.25" customHeight="1" outlineLevel="4">
      <c r="A43" s="258" t="s">
        <v>310</v>
      </c>
      <c r="B43" s="258"/>
      <c r="C43" s="258"/>
      <c r="D43" s="95"/>
      <c r="E43" s="96"/>
      <c r="F43" s="94"/>
      <c r="G43" s="253">
        <v>3484164</v>
      </c>
      <c r="H43" s="253"/>
      <c r="I43" s="94"/>
      <c r="J43" s="93">
        <v>3484164</v>
      </c>
      <c r="K43" s="95"/>
      <c r="L43" s="96"/>
    </row>
    <row r="44" spans="1:16" ht="21.75" customHeight="1" outlineLevel="4">
      <c r="A44" s="258" t="s">
        <v>311</v>
      </c>
      <c r="B44" s="258"/>
      <c r="C44" s="258"/>
      <c r="D44" s="95"/>
      <c r="E44" s="96"/>
      <c r="F44" s="94"/>
      <c r="G44" s="253">
        <v>474297.11</v>
      </c>
      <c r="H44" s="253"/>
      <c r="I44" s="93">
        <v>474297.11</v>
      </c>
      <c r="J44" s="94"/>
      <c r="K44" s="95"/>
      <c r="L44" s="96"/>
    </row>
    <row r="45" spans="1:16" ht="21.75" customHeight="1" outlineLevel="4">
      <c r="A45" s="258" t="s">
        <v>312</v>
      </c>
      <c r="B45" s="258"/>
      <c r="C45" s="258"/>
      <c r="D45" s="253">
        <v>48394429</v>
      </c>
      <c r="E45" s="253"/>
      <c r="F45" s="94"/>
      <c r="G45" s="253">
        <v>84031889</v>
      </c>
      <c r="H45" s="253"/>
      <c r="I45" s="93">
        <v>77757086</v>
      </c>
      <c r="J45" s="93">
        <v>54669232</v>
      </c>
      <c r="K45" s="95"/>
      <c r="L45" s="96"/>
    </row>
    <row r="46" spans="1:16" ht="21.75" customHeight="1" outlineLevel="2">
      <c r="A46" s="252" t="s">
        <v>313</v>
      </c>
      <c r="B46" s="252"/>
      <c r="C46" s="252"/>
      <c r="D46" s="253">
        <v>337038.85</v>
      </c>
      <c r="E46" s="253"/>
      <c r="F46" s="94"/>
      <c r="G46" s="253">
        <v>28027.66</v>
      </c>
      <c r="H46" s="253"/>
      <c r="I46" s="93">
        <v>40000</v>
      </c>
      <c r="J46" s="93">
        <v>325066.51</v>
      </c>
      <c r="K46" s="95"/>
      <c r="L46" s="96"/>
    </row>
    <row r="47" spans="1:16" ht="12" customHeight="1" outlineLevel="1">
      <c r="A47" s="256" t="s">
        <v>314</v>
      </c>
      <c r="B47" s="256"/>
      <c r="C47" s="256"/>
      <c r="D47" s="253">
        <v>30986990.440000001</v>
      </c>
      <c r="E47" s="253"/>
      <c r="F47" s="94"/>
      <c r="G47" s="253">
        <v>1021005085.63</v>
      </c>
      <c r="H47" s="253"/>
      <c r="I47" s="93">
        <v>449206576.38</v>
      </c>
      <c r="J47" s="93">
        <v>602785499.69000006</v>
      </c>
      <c r="K47" s="95"/>
      <c r="L47" s="96"/>
      <c r="M47" s="90" t="s">
        <v>451</v>
      </c>
      <c r="N47" s="99">
        <f>(J36-J37+J47+J75)/1000</f>
        <v>1486389.98474</v>
      </c>
      <c r="O47" s="99">
        <f>(D36-E37+D47+D75)/1000</f>
        <v>968000.03997000004</v>
      </c>
      <c r="P47" s="117">
        <f>O47-ОФП!D17</f>
        <v>3.9970000041648746E-2</v>
      </c>
    </row>
    <row r="48" spans="1:16" ht="21.75" customHeight="1" outlineLevel="2">
      <c r="A48" s="252" t="s">
        <v>315</v>
      </c>
      <c r="B48" s="252"/>
      <c r="C48" s="252"/>
      <c r="D48" s="253">
        <v>32482748.84</v>
      </c>
      <c r="E48" s="253"/>
      <c r="F48" s="94"/>
      <c r="G48" s="253">
        <v>991929620.39999998</v>
      </c>
      <c r="H48" s="253"/>
      <c r="I48" s="93">
        <v>438321254.75999999</v>
      </c>
      <c r="J48" s="93">
        <v>586091114.48000002</v>
      </c>
      <c r="K48" s="95"/>
      <c r="L48" s="96"/>
    </row>
    <row r="49" spans="1:24" ht="12" customHeight="1" outlineLevel="2">
      <c r="A49" s="252" t="s">
        <v>316</v>
      </c>
      <c r="B49" s="252"/>
      <c r="C49" s="252"/>
      <c r="D49" s="253">
        <v>2775181.6</v>
      </c>
      <c r="E49" s="253"/>
      <c r="F49" s="94"/>
      <c r="G49" s="253">
        <v>29075465.23</v>
      </c>
      <c r="H49" s="253"/>
      <c r="I49" s="93">
        <v>10885321.619999999</v>
      </c>
      <c r="J49" s="93">
        <v>20965325.210000001</v>
      </c>
      <c r="K49" s="95"/>
      <c r="L49" s="96"/>
    </row>
    <row r="50" spans="1:24" ht="32.25" customHeight="1" outlineLevel="2">
      <c r="A50" s="252" t="s">
        <v>317</v>
      </c>
      <c r="B50" s="252"/>
      <c r="C50" s="252"/>
      <c r="D50" s="95"/>
      <c r="E50" s="96"/>
      <c r="F50" s="93">
        <v>4270940</v>
      </c>
      <c r="G50" s="95"/>
      <c r="H50" s="96"/>
      <c r="I50" s="94"/>
      <c r="J50" s="94"/>
      <c r="K50" s="253">
        <v>4270940</v>
      </c>
      <c r="L50" s="253"/>
    </row>
    <row r="51" spans="1:24" ht="12" customHeight="1">
      <c r="A51" s="255" t="s">
        <v>318</v>
      </c>
      <c r="B51" s="255"/>
      <c r="C51" s="255"/>
      <c r="D51" s="253">
        <v>3892315777.7400002</v>
      </c>
      <c r="E51" s="253"/>
      <c r="F51" s="94"/>
      <c r="G51" s="253">
        <v>2788778303.6199999</v>
      </c>
      <c r="H51" s="253"/>
      <c r="I51" s="93">
        <v>2360244021.7400002</v>
      </c>
      <c r="J51" s="93">
        <v>4320850059.6199999</v>
      </c>
      <c r="K51" s="95"/>
      <c r="L51" s="96"/>
    </row>
    <row r="52" spans="1:24" ht="21.75" customHeight="1" outlineLevel="1">
      <c r="A52" s="256" t="s">
        <v>319</v>
      </c>
      <c r="B52" s="256"/>
      <c r="C52" s="256"/>
      <c r="D52" s="253">
        <v>7366056.9500000002</v>
      </c>
      <c r="E52" s="253"/>
      <c r="F52" s="94"/>
      <c r="G52" s="253">
        <v>4200312.62</v>
      </c>
      <c r="H52" s="253"/>
      <c r="I52" s="94"/>
      <c r="J52" s="93">
        <v>11566369.57</v>
      </c>
      <c r="K52" s="95"/>
      <c r="L52" s="96"/>
    </row>
    <row r="53" spans="1:24" ht="21.75" customHeight="1" outlineLevel="2">
      <c r="A53" s="252" t="s">
        <v>320</v>
      </c>
      <c r="B53" s="252"/>
      <c r="C53" s="252"/>
      <c r="D53" s="253">
        <v>10098700.949999999</v>
      </c>
      <c r="E53" s="253"/>
      <c r="F53" s="94"/>
      <c r="G53" s="253">
        <v>4200312.62</v>
      </c>
      <c r="H53" s="253"/>
      <c r="I53" s="94"/>
      <c r="J53" s="93">
        <v>14299013.57</v>
      </c>
      <c r="K53" s="95"/>
      <c r="L53" s="96"/>
    </row>
    <row r="54" spans="1:24" ht="32.25" customHeight="1" outlineLevel="3">
      <c r="A54" s="254" t="s">
        <v>321</v>
      </c>
      <c r="B54" s="254"/>
      <c r="C54" s="254"/>
      <c r="D54" s="253">
        <v>10098700.949999999</v>
      </c>
      <c r="E54" s="253"/>
      <c r="F54" s="94"/>
      <c r="G54" s="253">
        <v>4200312.62</v>
      </c>
      <c r="H54" s="253"/>
      <c r="I54" s="94"/>
      <c r="J54" s="93">
        <v>14299013.57</v>
      </c>
      <c r="K54" s="95"/>
      <c r="L54" s="96"/>
    </row>
    <row r="55" spans="1:24" ht="32.25" customHeight="1" outlineLevel="2">
      <c r="A55" s="252" t="s">
        <v>322</v>
      </c>
      <c r="B55" s="252"/>
      <c r="C55" s="252"/>
      <c r="D55" s="95"/>
      <c r="E55" s="96"/>
      <c r="F55" s="93">
        <v>2732644</v>
      </c>
      <c r="G55" s="95"/>
      <c r="H55" s="96"/>
      <c r="I55" s="94"/>
      <c r="J55" s="94"/>
      <c r="K55" s="253">
        <v>2732644</v>
      </c>
      <c r="L55" s="253"/>
      <c r="Q55" s="242" t="s">
        <v>266</v>
      </c>
      <c r="R55" s="242"/>
      <c r="S55" s="242"/>
      <c r="T55" s="242"/>
      <c r="U55" s="100"/>
      <c r="V55" s="100"/>
      <c r="W55" s="100"/>
      <c r="X55" s="100"/>
    </row>
    <row r="56" spans="1:24" ht="19.2" customHeight="1" outlineLevel="1">
      <c r="A56" s="256" t="s">
        <v>323</v>
      </c>
      <c r="B56" s="256"/>
      <c r="C56" s="256"/>
      <c r="D56" s="253">
        <v>1258811.94</v>
      </c>
      <c r="E56" s="253"/>
      <c r="F56" s="94"/>
      <c r="G56" s="95"/>
      <c r="H56" s="96"/>
      <c r="I56" s="93">
        <v>77070.12</v>
      </c>
      <c r="J56" s="93">
        <v>1181741.82</v>
      </c>
      <c r="K56" s="95"/>
      <c r="L56" s="96"/>
      <c r="Q56" s="243" t="s">
        <v>434</v>
      </c>
      <c r="R56" s="243"/>
      <c r="S56" s="243"/>
      <c r="T56" s="243"/>
      <c r="U56" s="243"/>
      <c r="V56" s="100"/>
      <c r="W56" s="100"/>
      <c r="X56" s="100"/>
    </row>
    <row r="57" spans="1:24" ht="12" customHeight="1" outlineLevel="2">
      <c r="A57" s="252" t="s">
        <v>324</v>
      </c>
      <c r="B57" s="252"/>
      <c r="C57" s="252"/>
      <c r="D57" s="253">
        <v>1541402.38</v>
      </c>
      <c r="E57" s="253"/>
      <c r="F57" s="94"/>
      <c r="G57" s="95"/>
      <c r="H57" s="96"/>
      <c r="I57" s="94"/>
      <c r="J57" s="93">
        <v>1541402.38</v>
      </c>
      <c r="K57" s="95"/>
      <c r="L57" s="96"/>
      <c r="Q57" s="100"/>
      <c r="R57" s="100"/>
      <c r="S57" s="100"/>
      <c r="T57" s="100"/>
      <c r="U57" s="100"/>
      <c r="V57" s="100"/>
      <c r="W57" s="100"/>
      <c r="X57" s="100"/>
    </row>
    <row r="58" spans="1:24" ht="12" customHeight="1" outlineLevel="3">
      <c r="A58" s="254" t="s">
        <v>325</v>
      </c>
      <c r="B58" s="254"/>
      <c r="C58" s="254"/>
      <c r="D58" s="253">
        <v>1541402.38</v>
      </c>
      <c r="E58" s="253"/>
      <c r="F58" s="94"/>
      <c r="G58" s="95"/>
      <c r="H58" s="96"/>
      <c r="I58" s="94"/>
      <c r="J58" s="93">
        <v>1541402.38</v>
      </c>
      <c r="K58" s="95"/>
      <c r="L58" s="96"/>
      <c r="Q58" s="101" t="s">
        <v>435</v>
      </c>
      <c r="R58" s="101" t="s">
        <v>436</v>
      </c>
      <c r="S58" s="100"/>
      <c r="T58" s="100"/>
      <c r="U58" s="100"/>
      <c r="V58" s="100"/>
      <c r="W58" s="100"/>
      <c r="X58" s="100"/>
    </row>
    <row r="59" spans="1:24" ht="21.75" customHeight="1" outlineLevel="2">
      <c r="A59" s="252" t="s">
        <v>326</v>
      </c>
      <c r="B59" s="252"/>
      <c r="C59" s="252"/>
      <c r="D59" s="95"/>
      <c r="E59" s="96"/>
      <c r="F59" s="93">
        <v>282590.44</v>
      </c>
      <c r="G59" s="95"/>
      <c r="H59" s="96"/>
      <c r="I59" s="93">
        <v>77070.12</v>
      </c>
      <c r="J59" s="94"/>
      <c r="K59" s="253">
        <v>359660.56</v>
      </c>
      <c r="L59" s="253"/>
      <c r="Q59" s="100"/>
      <c r="R59" s="100"/>
      <c r="S59" s="100"/>
      <c r="T59" s="100"/>
      <c r="U59" s="100"/>
      <c r="V59" s="100"/>
      <c r="W59" s="100"/>
      <c r="X59" s="100"/>
    </row>
    <row r="60" spans="1:24" ht="21.75" customHeight="1" outlineLevel="3">
      <c r="A60" s="254" t="s">
        <v>327</v>
      </c>
      <c r="B60" s="254"/>
      <c r="C60" s="254"/>
      <c r="D60" s="95"/>
      <c r="E60" s="96"/>
      <c r="F60" s="93">
        <v>282590.44</v>
      </c>
      <c r="G60" s="95"/>
      <c r="H60" s="96"/>
      <c r="I60" s="93">
        <v>77070.12</v>
      </c>
      <c r="J60" s="94"/>
      <c r="K60" s="253">
        <v>359660.56</v>
      </c>
      <c r="L60" s="253"/>
      <c r="Q60" s="100"/>
      <c r="R60" s="100"/>
      <c r="S60" s="100"/>
      <c r="T60" s="100"/>
      <c r="U60" s="100"/>
      <c r="V60" s="100"/>
      <c r="W60" s="100"/>
      <c r="X60" s="100"/>
    </row>
    <row r="61" spans="1:24" ht="12" customHeight="1" outlineLevel="1">
      <c r="A61" s="256" t="s">
        <v>328</v>
      </c>
      <c r="B61" s="256"/>
      <c r="C61" s="256"/>
      <c r="D61" s="253">
        <v>3487286107.8299999</v>
      </c>
      <c r="E61" s="253"/>
      <c r="F61" s="94"/>
      <c r="G61" s="253">
        <v>1708857137.71</v>
      </c>
      <c r="H61" s="253"/>
      <c r="I61" s="93">
        <v>981233080.48000002</v>
      </c>
      <c r="J61" s="93">
        <v>4214910165.0599999</v>
      </c>
      <c r="K61" s="95"/>
      <c r="L61" s="96"/>
      <c r="Q61" s="102" t="s">
        <v>270</v>
      </c>
      <c r="R61" s="102" t="s">
        <v>271</v>
      </c>
      <c r="S61" s="100"/>
      <c r="T61" s="100"/>
      <c r="U61" s="100"/>
      <c r="V61" s="100"/>
      <c r="W61" s="100"/>
      <c r="X61" s="100"/>
    </row>
    <row r="62" spans="1:24" ht="12" customHeight="1" outlineLevel="2">
      <c r="A62" s="252" t="s">
        <v>329</v>
      </c>
      <c r="B62" s="252"/>
      <c r="C62" s="252"/>
      <c r="D62" s="253">
        <v>4314945665.4099998</v>
      </c>
      <c r="E62" s="253"/>
      <c r="F62" s="94"/>
      <c r="G62" s="253">
        <v>1685486502.5900002</v>
      </c>
      <c r="H62" s="253"/>
      <c r="I62" s="93">
        <v>642286584.51999998</v>
      </c>
      <c r="J62" s="93">
        <v>5358145583.4800005</v>
      </c>
      <c r="K62" s="95"/>
      <c r="L62" s="96"/>
      <c r="M62" s="90" t="s">
        <v>121</v>
      </c>
      <c r="N62" s="99">
        <f>(J56+J62-K65-K67+J76-W79)/1000</f>
        <v>3832096.2044899995</v>
      </c>
      <c r="O62" s="114">
        <f>(D56+D62-F65-F67+D76-S79+D74)/1000</f>
        <v>3399094.5148699996</v>
      </c>
      <c r="P62" s="119">
        <f>O62-ОФП!D7</f>
        <v>50.514869999606162</v>
      </c>
      <c r="Q62" s="100"/>
      <c r="R62" s="100"/>
      <c r="S62" s="100"/>
      <c r="T62" s="100"/>
      <c r="U62" s="100"/>
      <c r="V62" s="100"/>
      <c r="W62" s="100"/>
      <c r="X62" s="100"/>
    </row>
    <row r="63" spans="1:24" ht="21.75" customHeight="1" outlineLevel="3">
      <c r="A63" s="254" t="s">
        <v>330</v>
      </c>
      <c r="B63" s="254"/>
      <c r="C63" s="254"/>
      <c r="D63" s="253">
        <v>92991714.629999995</v>
      </c>
      <c r="E63" s="253"/>
      <c r="F63" s="94"/>
      <c r="G63" s="253">
        <v>652472450.80999994</v>
      </c>
      <c r="H63" s="253"/>
      <c r="I63" s="93">
        <v>584229163.92999995</v>
      </c>
      <c r="J63" s="93">
        <v>161235001.50999999</v>
      </c>
      <c r="K63" s="95"/>
      <c r="L63" s="96"/>
      <c r="M63" s="90" t="s">
        <v>433</v>
      </c>
      <c r="N63" s="99">
        <f>W79/1000</f>
        <v>373817.99810999999</v>
      </c>
      <c r="O63" s="114">
        <f>S79/1000</f>
        <v>383531.59617999999</v>
      </c>
      <c r="P63" s="118">
        <f>O63-ОФП!D9</f>
        <v>-50.403820000006817</v>
      </c>
      <c r="Q63" s="103" t="s">
        <v>33</v>
      </c>
      <c r="R63" s="267" t="s">
        <v>437</v>
      </c>
      <c r="S63" s="269" t="s">
        <v>273</v>
      </c>
      <c r="T63" s="269"/>
      <c r="U63" s="269" t="s">
        <v>274</v>
      </c>
      <c r="V63" s="269"/>
      <c r="W63" s="269" t="s">
        <v>275</v>
      </c>
      <c r="X63" s="269"/>
    </row>
    <row r="64" spans="1:24" ht="21.75" customHeight="1" outlineLevel="3">
      <c r="A64" s="254" t="s">
        <v>331</v>
      </c>
      <c r="B64" s="254"/>
      <c r="C64" s="254"/>
      <c r="D64" s="253">
        <v>4221953950.7800002</v>
      </c>
      <c r="E64" s="253"/>
      <c r="F64" s="94"/>
      <c r="G64" s="253">
        <v>1033014051.78</v>
      </c>
      <c r="H64" s="253"/>
      <c r="I64" s="93">
        <v>58057420.590000004</v>
      </c>
      <c r="J64" s="93">
        <v>5196910581.9700003</v>
      </c>
      <c r="K64" s="95"/>
      <c r="L64" s="96"/>
      <c r="Q64" s="103" t="s">
        <v>438</v>
      </c>
      <c r="R64" s="268"/>
      <c r="S64" s="103" t="s">
        <v>276</v>
      </c>
      <c r="T64" s="103" t="s">
        <v>277</v>
      </c>
      <c r="U64" s="103" t="s">
        <v>276</v>
      </c>
      <c r="V64" s="103" t="s">
        <v>277</v>
      </c>
      <c r="W64" s="103" t="s">
        <v>276</v>
      </c>
      <c r="X64" s="103" t="s">
        <v>277</v>
      </c>
    </row>
    <row r="65" spans="1:24" ht="21.75" customHeight="1" outlineLevel="2">
      <c r="A65" s="252" t="s">
        <v>332</v>
      </c>
      <c r="B65" s="252"/>
      <c r="C65" s="252"/>
      <c r="D65" s="95"/>
      <c r="E65" s="96"/>
      <c r="F65" s="93">
        <v>751600250.47000003</v>
      </c>
      <c r="G65" s="253">
        <v>23370635.120000001</v>
      </c>
      <c r="H65" s="253"/>
      <c r="I65" s="93">
        <v>332524387.95999998</v>
      </c>
      <c r="J65" s="94"/>
      <c r="K65" s="253">
        <v>1060754003.3099999</v>
      </c>
      <c r="L65" s="253"/>
      <c r="Q65" s="270" t="s">
        <v>439</v>
      </c>
      <c r="R65" s="104" t="s">
        <v>440</v>
      </c>
      <c r="S65" s="105">
        <v>383531596.18000001</v>
      </c>
      <c r="T65" s="106"/>
      <c r="U65" s="106"/>
      <c r="V65" s="105">
        <v>9713598.0700000003</v>
      </c>
      <c r="W65" s="105">
        <v>373817998.11000001</v>
      </c>
      <c r="X65" s="106"/>
    </row>
    <row r="66" spans="1:24" ht="21.75" customHeight="1" outlineLevel="3">
      <c r="A66" s="254" t="s">
        <v>333</v>
      </c>
      <c r="B66" s="254"/>
      <c r="C66" s="254"/>
      <c r="D66" s="95"/>
      <c r="E66" s="96"/>
      <c r="F66" s="93">
        <v>751600250.47000003</v>
      </c>
      <c r="G66" s="253">
        <v>23370635.120000001</v>
      </c>
      <c r="H66" s="253"/>
      <c r="I66" s="93">
        <v>332524387.95999998</v>
      </c>
      <c r="J66" s="94"/>
      <c r="K66" s="253">
        <v>1060754003.3099999</v>
      </c>
      <c r="L66" s="253"/>
      <c r="Q66" s="271"/>
      <c r="R66" s="104" t="s">
        <v>441</v>
      </c>
      <c r="S66" s="106"/>
      <c r="T66" s="106"/>
      <c r="U66" s="106"/>
      <c r="V66" s="106"/>
      <c r="W66" s="106"/>
      <c r="X66" s="106"/>
    </row>
    <row r="67" spans="1:24" ht="21.75" customHeight="1" outlineLevel="2">
      <c r="A67" s="252" t="s">
        <v>334</v>
      </c>
      <c r="B67" s="252"/>
      <c r="C67" s="252"/>
      <c r="D67" s="95"/>
      <c r="E67" s="96"/>
      <c r="F67" s="93">
        <v>128078400.11</v>
      </c>
      <c r="G67" s="95"/>
      <c r="H67" s="96"/>
      <c r="I67" s="94"/>
      <c r="J67" s="94"/>
      <c r="K67" s="253">
        <v>128078400.11</v>
      </c>
      <c r="L67" s="253"/>
      <c r="Q67" s="272" t="s">
        <v>442</v>
      </c>
      <c r="R67" s="107" t="s">
        <v>440</v>
      </c>
      <c r="S67" s="108">
        <v>383531596.18000001</v>
      </c>
      <c r="T67" s="109"/>
      <c r="U67" s="109"/>
      <c r="V67" s="108">
        <v>9713598.0700000003</v>
      </c>
      <c r="W67" s="108">
        <v>373817998.11000001</v>
      </c>
      <c r="X67" s="109"/>
    </row>
    <row r="68" spans="1:24" ht="12" customHeight="1" outlineLevel="2">
      <c r="A68" s="252" t="s">
        <v>335</v>
      </c>
      <c r="B68" s="252"/>
      <c r="C68" s="252"/>
      <c r="D68" s="253">
        <v>52019093</v>
      </c>
      <c r="E68" s="253"/>
      <c r="F68" s="94"/>
      <c r="G68" s="95"/>
      <c r="H68" s="96"/>
      <c r="I68" s="93">
        <v>6422108</v>
      </c>
      <c r="J68" s="93">
        <v>45596985</v>
      </c>
      <c r="K68" s="95"/>
      <c r="L68" s="96"/>
      <c r="M68" s="90" t="s">
        <v>448</v>
      </c>
      <c r="N68" s="99">
        <f>J68/1000</f>
        <v>45596.985000000001</v>
      </c>
      <c r="O68" s="99">
        <f>D68/1000</f>
        <v>52019.093000000001</v>
      </c>
      <c r="P68" s="99">
        <f>O68-ОФП!D8</f>
        <v>9.30000000007567E-2</v>
      </c>
      <c r="Q68" s="273"/>
      <c r="R68" s="107" t="s">
        <v>441</v>
      </c>
      <c r="S68" s="109"/>
      <c r="T68" s="109"/>
      <c r="U68" s="109"/>
      <c r="V68" s="109"/>
      <c r="W68" s="109"/>
      <c r="X68" s="109"/>
    </row>
    <row r="69" spans="1:24" ht="12" customHeight="1" outlineLevel="3">
      <c r="A69" s="254" t="s">
        <v>336</v>
      </c>
      <c r="B69" s="254"/>
      <c r="C69" s="254"/>
      <c r="D69" s="253">
        <v>52019093</v>
      </c>
      <c r="E69" s="253"/>
      <c r="F69" s="94"/>
      <c r="G69" s="95"/>
      <c r="H69" s="96"/>
      <c r="I69" s="93">
        <v>6422108</v>
      </c>
      <c r="J69" s="93">
        <v>45596985</v>
      </c>
      <c r="K69" s="95"/>
      <c r="L69" s="96"/>
      <c r="Q69" s="274" t="s">
        <v>443</v>
      </c>
      <c r="R69" s="107" t="s">
        <v>440</v>
      </c>
      <c r="S69" s="108">
        <v>383531596.18000001</v>
      </c>
      <c r="T69" s="109"/>
      <c r="U69" s="109"/>
      <c r="V69" s="108">
        <v>9713598.0700000003</v>
      </c>
      <c r="W69" s="108">
        <v>373817998.11000001</v>
      </c>
      <c r="X69" s="109"/>
    </row>
    <row r="70" spans="1:24" ht="12" customHeight="1" outlineLevel="1">
      <c r="A70" s="256" t="s">
        <v>337</v>
      </c>
      <c r="B70" s="256"/>
      <c r="C70" s="256"/>
      <c r="D70" s="253">
        <v>48921499.229999997</v>
      </c>
      <c r="E70" s="253"/>
      <c r="F70" s="94"/>
      <c r="G70" s="253">
        <v>14961082.380000001</v>
      </c>
      <c r="H70" s="253"/>
      <c r="I70" s="93">
        <v>7124292</v>
      </c>
      <c r="J70" s="93">
        <v>56758289.609999999</v>
      </c>
      <c r="K70" s="95"/>
      <c r="L70" s="96"/>
      <c r="M70" s="90" t="s">
        <v>122</v>
      </c>
      <c r="N70" s="99">
        <f>J70/1000</f>
        <v>56758.28961</v>
      </c>
      <c r="O70" s="99">
        <f>D70/1000</f>
        <v>48921.499229999994</v>
      </c>
      <c r="P70" s="99">
        <f>ОФП!D10-O70</f>
        <v>-0.49922999999398598</v>
      </c>
      <c r="Q70" s="275"/>
      <c r="R70" s="107" t="s">
        <v>441</v>
      </c>
      <c r="S70" s="109"/>
      <c r="T70" s="109"/>
      <c r="U70" s="109"/>
      <c r="V70" s="109"/>
      <c r="W70" s="109"/>
      <c r="X70" s="109"/>
    </row>
    <row r="71" spans="1:24" ht="21.75" customHeight="1" outlineLevel="2">
      <c r="A71" s="252" t="s">
        <v>338</v>
      </c>
      <c r="B71" s="252"/>
      <c r="C71" s="252"/>
      <c r="D71" s="253">
        <v>60614976.57</v>
      </c>
      <c r="E71" s="253"/>
      <c r="F71" s="94"/>
      <c r="G71" s="253">
        <v>14961082.380000001</v>
      </c>
      <c r="H71" s="253"/>
      <c r="I71" s="94"/>
      <c r="J71" s="93">
        <v>75576058.950000003</v>
      </c>
      <c r="K71" s="95"/>
      <c r="L71" s="96"/>
      <c r="Q71" s="261" t="s">
        <v>444</v>
      </c>
      <c r="R71" s="107" t="s">
        <v>440</v>
      </c>
      <c r="S71" s="108">
        <v>409561564.14999998</v>
      </c>
      <c r="T71" s="109"/>
      <c r="U71" s="109"/>
      <c r="V71" s="109"/>
      <c r="W71" s="108">
        <v>409561564.14999998</v>
      </c>
      <c r="X71" s="109"/>
    </row>
    <row r="72" spans="1:24" ht="21.75" customHeight="1" outlineLevel="2">
      <c r="A72" s="252" t="s">
        <v>339</v>
      </c>
      <c r="B72" s="252"/>
      <c r="C72" s="252"/>
      <c r="D72" s="95"/>
      <c r="E72" s="96"/>
      <c r="F72" s="93">
        <v>11693477.34</v>
      </c>
      <c r="G72" s="95"/>
      <c r="H72" s="96"/>
      <c r="I72" s="93">
        <v>7124292</v>
      </c>
      <c r="J72" s="94"/>
      <c r="K72" s="253">
        <v>18817769.34</v>
      </c>
      <c r="L72" s="253"/>
      <c r="Q72" s="262"/>
      <c r="R72" s="107" t="s">
        <v>441</v>
      </c>
      <c r="S72" s="109"/>
      <c r="T72" s="109"/>
      <c r="U72" s="109"/>
      <c r="V72" s="109"/>
      <c r="W72" s="109"/>
      <c r="X72" s="109"/>
    </row>
    <row r="73" spans="1:24" ht="12" customHeight="1" outlineLevel="1">
      <c r="A73" s="256" t="s">
        <v>340</v>
      </c>
      <c r="B73" s="256"/>
      <c r="C73" s="256"/>
      <c r="D73" s="253">
        <v>347483301.79000002</v>
      </c>
      <c r="E73" s="253"/>
      <c r="F73" s="94"/>
      <c r="G73" s="253">
        <v>1060759770.91</v>
      </c>
      <c r="H73" s="253"/>
      <c r="I73" s="93">
        <v>1371809579.1400001</v>
      </c>
      <c r="J73" s="93">
        <v>36433493.560000002</v>
      </c>
      <c r="K73" s="95"/>
      <c r="L73" s="96"/>
      <c r="Q73" s="263" t="s">
        <v>445</v>
      </c>
      <c r="R73" s="107" t="s">
        <v>440</v>
      </c>
      <c r="S73" s="108">
        <v>409561564.14999998</v>
      </c>
      <c r="T73" s="109"/>
      <c r="U73" s="109"/>
      <c r="V73" s="109"/>
      <c r="W73" s="108">
        <v>409561564.14999998</v>
      </c>
      <c r="X73" s="109"/>
    </row>
    <row r="74" spans="1:24" ht="21.75" customHeight="1" outlineLevel="2">
      <c r="A74" s="252" t="s">
        <v>341</v>
      </c>
      <c r="B74" s="252"/>
      <c r="C74" s="252"/>
      <c r="D74" s="253">
        <v>24467999.629999999</v>
      </c>
      <c r="E74" s="253"/>
      <c r="F74" s="94"/>
      <c r="G74" s="95"/>
      <c r="H74" s="96"/>
      <c r="I74" s="93">
        <v>24467999.629999999</v>
      </c>
      <c r="J74" s="94"/>
      <c r="K74" s="95"/>
      <c r="L74" s="96"/>
      <c r="Q74" s="264"/>
      <c r="R74" s="107" t="s">
        <v>441</v>
      </c>
      <c r="S74" s="109"/>
      <c r="T74" s="109"/>
      <c r="U74" s="109"/>
      <c r="V74" s="109"/>
      <c r="W74" s="109"/>
      <c r="X74" s="109"/>
    </row>
    <row r="75" spans="1:24" ht="12" customHeight="1" outlineLevel="2">
      <c r="A75" s="252" t="s">
        <v>342</v>
      </c>
      <c r="B75" s="252"/>
      <c r="C75" s="252"/>
      <c r="D75" s="253">
        <v>1383017.51</v>
      </c>
      <c r="E75" s="253"/>
      <c r="F75" s="94"/>
      <c r="G75" s="95"/>
      <c r="H75" s="96"/>
      <c r="I75" s="93">
        <v>368804.67</v>
      </c>
      <c r="J75" s="93">
        <v>1014212.84</v>
      </c>
      <c r="K75" s="95"/>
      <c r="L75" s="96"/>
      <c r="Q75" s="261" t="s">
        <v>446</v>
      </c>
      <c r="R75" s="107" t="s">
        <v>440</v>
      </c>
      <c r="S75" s="109"/>
      <c r="T75" s="108">
        <v>26029967.969999999</v>
      </c>
      <c r="U75" s="109"/>
      <c r="V75" s="108">
        <v>9713598.0700000003</v>
      </c>
      <c r="W75" s="109"/>
      <c r="X75" s="108">
        <v>35743566.039999999</v>
      </c>
    </row>
    <row r="76" spans="1:24" ht="21.75" customHeight="1" outlineLevel="2">
      <c r="A76" s="252" t="s">
        <v>343</v>
      </c>
      <c r="B76" s="252"/>
      <c r="C76" s="252"/>
      <c r="D76" s="253">
        <v>321632284.64999998</v>
      </c>
      <c r="E76" s="253"/>
      <c r="F76" s="94"/>
      <c r="G76" s="253">
        <v>1060759770.91</v>
      </c>
      <c r="H76" s="253"/>
      <c r="I76" s="93">
        <v>1346972774.8399999</v>
      </c>
      <c r="J76" s="93">
        <v>35419280.719999999</v>
      </c>
      <c r="K76" s="95"/>
      <c r="L76" s="96"/>
      <c r="Q76" s="262"/>
      <c r="R76" s="107" t="s">
        <v>441</v>
      </c>
      <c r="S76" s="109"/>
      <c r="T76" s="109"/>
      <c r="U76" s="109"/>
      <c r="V76" s="109"/>
      <c r="W76" s="109"/>
      <c r="X76" s="109"/>
    </row>
    <row r="77" spans="1:24" ht="21.75" customHeight="1" outlineLevel="3">
      <c r="A77" s="254" t="s">
        <v>344</v>
      </c>
      <c r="B77" s="254"/>
      <c r="C77" s="254"/>
      <c r="D77" s="253">
        <v>313703713.22000003</v>
      </c>
      <c r="E77" s="253"/>
      <c r="F77" s="94"/>
      <c r="G77" s="253">
        <v>55673236.090000004</v>
      </c>
      <c r="H77" s="253"/>
      <c r="I77" s="93">
        <v>334771910.01999998</v>
      </c>
      <c r="J77" s="93">
        <v>34605039.289999999</v>
      </c>
      <c r="K77" s="95"/>
      <c r="L77" s="96"/>
      <c r="Q77" s="263" t="s">
        <v>447</v>
      </c>
      <c r="R77" s="107" t="s">
        <v>440</v>
      </c>
      <c r="S77" s="109"/>
      <c r="T77" s="108">
        <v>26029967.969999999</v>
      </c>
      <c r="U77" s="109"/>
      <c r="V77" s="108">
        <v>9713598.0700000003</v>
      </c>
      <c r="W77" s="109"/>
      <c r="X77" s="108">
        <v>35743566.039999999</v>
      </c>
    </row>
    <row r="78" spans="1:24" ht="12" customHeight="1" outlineLevel="3">
      <c r="A78" s="254" t="s">
        <v>345</v>
      </c>
      <c r="B78" s="254"/>
      <c r="C78" s="254"/>
      <c r="D78" s="253">
        <v>7928571.4299999997</v>
      </c>
      <c r="E78" s="253"/>
      <c r="F78" s="94"/>
      <c r="G78" s="253">
        <v>593415515.41999996</v>
      </c>
      <c r="H78" s="253"/>
      <c r="I78" s="93">
        <v>601344086.85000002</v>
      </c>
      <c r="J78" s="94"/>
      <c r="K78" s="95"/>
      <c r="L78" s="96"/>
      <c r="Q78" s="264"/>
      <c r="R78" s="107" t="s">
        <v>441</v>
      </c>
      <c r="S78" s="109"/>
      <c r="T78" s="109"/>
      <c r="U78" s="109"/>
      <c r="V78" s="109"/>
      <c r="W78" s="109"/>
      <c r="X78" s="109"/>
    </row>
    <row r="79" spans="1:24" ht="12" customHeight="1" outlineLevel="3">
      <c r="A79" s="254" t="s">
        <v>346</v>
      </c>
      <c r="B79" s="254"/>
      <c r="C79" s="254"/>
      <c r="D79" s="95"/>
      <c r="E79" s="96"/>
      <c r="F79" s="94"/>
      <c r="G79" s="253">
        <v>411671019.39999998</v>
      </c>
      <c r="H79" s="253"/>
      <c r="I79" s="93">
        <v>410856777.97000003</v>
      </c>
      <c r="J79" s="93">
        <v>814241.43</v>
      </c>
      <c r="K79" s="95"/>
      <c r="L79" s="96"/>
      <c r="Q79" s="265" t="s">
        <v>104</v>
      </c>
      <c r="R79" s="110" t="s">
        <v>440</v>
      </c>
      <c r="S79" s="111">
        <v>383531596.18000001</v>
      </c>
      <c r="T79" s="112"/>
      <c r="U79" s="112"/>
      <c r="V79" s="111">
        <v>9713598.0700000003</v>
      </c>
      <c r="W79" s="111">
        <v>373817998.11000001</v>
      </c>
      <c r="X79" s="112"/>
    </row>
    <row r="80" spans="1:24" ht="12" customHeight="1">
      <c r="A80" s="255" t="s">
        <v>347</v>
      </c>
      <c r="B80" s="255"/>
      <c r="C80" s="255"/>
      <c r="D80" s="95"/>
      <c r="E80" s="96"/>
      <c r="F80" s="93">
        <v>2520703830.9500003</v>
      </c>
      <c r="G80" s="253">
        <v>7003102252.5299997</v>
      </c>
      <c r="H80" s="253"/>
      <c r="I80" s="93">
        <v>7009192670.46</v>
      </c>
      <c r="J80" s="94"/>
      <c r="K80" s="253">
        <v>2526794248.8800001</v>
      </c>
      <c r="L80" s="253"/>
      <c r="N80" s="99">
        <f>SUM(N17:N79)</f>
        <v>14859469.516689999</v>
      </c>
      <c r="O80" s="99">
        <f>SUM(O17:O79)</f>
        <v>12061608.107029999</v>
      </c>
      <c r="Q80" s="266"/>
      <c r="R80" s="110" t="s">
        <v>441</v>
      </c>
      <c r="S80" s="112"/>
      <c r="T80" s="112"/>
      <c r="U80" s="112"/>
      <c r="V80" s="112"/>
      <c r="W80" s="112"/>
      <c r="X80" s="112"/>
    </row>
    <row r="81" spans="1:16" ht="12" customHeight="1" outlineLevel="1">
      <c r="A81" s="256" t="s">
        <v>348</v>
      </c>
      <c r="B81" s="256"/>
      <c r="C81" s="256"/>
      <c r="D81" s="95"/>
      <c r="E81" s="96"/>
      <c r="F81" s="93">
        <v>875368889.63</v>
      </c>
      <c r="G81" s="253">
        <v>1518316523.28</v>
      </c>
      <c r="H81" s="253"/>
      <c r="I81" s="93">
        <v>1318968050.4400001</v>
      </c>
      <c r="J81" s="94"/>
      <c r="K81" s="253">
        <v>676020416.78999996</v>
      </c>
      <c r="L81" s="253"/>
    </row>
    <row r="82" spans="1:16" ht="21.75" customHeight="1" outlineLevel="2">
      <c r="A82" s="252" t="s">
        <v>349</v>
      </c>
      <c r="B82" s="252"/>
      <c r="C82" s="252"/>
      <c r="D82" s="95"/>
      <c r="E82" s="96"/>
      <c r="F82" s="93">
        <v>691727751.25999999</v>
      </c>
      <c r="G82" s="253">
        <v>1091737020.5</v>
      </c>
      <c r="H82" s="253"/>
      <c r="I82" s="93">
        <v>794764567.25</v>
      </c>
      <c r="J82" s="94"/>
      <c r="K82" s="253">
        <v>394755298.00999999</v>
      </c>
      <c r="L82" s="253"/>
      <c r="M82" s="90" t="s">
        <v>462</v>
      </c>
      <c r="N82" s="99">
        <f>K82/1000</f>
        <v>394755.29800999997</v>
      </c>
      <c r="O82" s="99">
        <f>F82/1000</f>
        <v>691727.75126000005</v>
      </c>
      <c r="P82" s="99">
        <f>O82-ОФП!D36</f>
        <v>-1.2487399999517947</v>
      </c>
    </row>
    <row r="83" spans="1:16" ht="21.75" customHeight="1" outlineLevel="3">
      <c r="A83" s="254" t="s">
        <v>350</v>
      </c>
      <c r="B83" s="254"/>
      <c r="C83" s="254"/>
      <c r="D83" s="95"/>
      <c r="E83" s="96"/>
      <c r="F83" s="93">
        <v>691350558.00999999</v>
      </c>
      <c r="G83" s="253">
        <v>1090125000</v>
      </c>
      <c r="H83" s="253"/>
      <c r="I83" s="93">
        <v>793529740</v>
      </c>
      <c r="J83" s="94"/>
      <c r="K83" s="253">
        <v>394755298.00999999</v>
      </c>
      <c r="L83" s="253"/>
      <c r="M83" s="90" t="s">
        <v>61</v>
      </c>
      <c r="N83" s="99">
        <f>(K81-K83+K97)/1000</f>
        <v>295447.02265999996</v>
      </c>
      <c r="O83" s="99">
        <f>(F81-F82+F97)/1000</f>
        <v>195506.89825</v>
      </c>
      <c r="P83" s="99">
        <f>O83-ОФП!D38</f>
        <v>-0.10175000000162981</v>
      </c>
    </row>
    <row r="84" spans="1:16" ht="32.25" customHeight="1" outlineLevel="3">
      <c r="A84" s="254" t="s">
        <v>351</v>
      </c>
      <c r="B84" s="254"/>
      <c r="C84" s="254"/>
      <c r="D84" s="95"/>
      <c r="E84" s="96"/>
      <c r="F84" s="93">
        <v>377193.25</v>
      </c>
      <c r="G84" s="253">
        <v>1612020.5</v>
      </c>
      <c r="H84" s="253"/>
      <c r="I84" s="93">
        <v>1234827.25</v>
      </c>
      <c r="J84" s="94"/>
      <c r="K84" s="95"/>
      <c r="L84" s="96"/>
    </row>
    <row r="85" spans="1:16" ht="21.75" customHeight="1" outlineLevel="2">
      <c r="A85" s="252" t="s">
        <v>352</v>
      </c>
      <c r="B85" s="252"/>
      <c r="C85" s="252"/>
      <c r="D85" s="95"/>
      <c r="E85" s="96"/>
      <c r="F85" s="93">
        <v>4971385.17</v>
      </c>
      <c r="G85" s="253">
        <v>35166490</v>
      </c>
      <c r="H85" s="253"/>
      <c r="I85" s="93">
        <v>35501281</v>
      </c>
      <c r="J85" s="94"/>
      <c r="K85" s="253">
        <v>5306176.17</v>
      </c>
      <c r="L85" s="253"/>
    </row>
    <row r="86" spans="1:16" ht="21.75" customHeight="1" outlineLevel="2">
      <c r="A86" s="252" t="s">
        <v>353</v>
      </c>
      <c r="B86" s="252"/>
      <c r="C86" s="252"/>
      <c r="D86" s="95"/>
      <c r="E86" s="96"/>
      <c r="F86" s="93">
        <v>48394429.039999999</v>
      </c>
      <c r="G86" s="253">
        <v>82293659.870000005</v>
      </c>
      <c r="H86" s="253"/>
      <c r="I86" s="93">
        <v>88568462.870000005</v>
      </c>
      <c r="J86" s="94"/>
      <c r="K86" s="253">
        <v>54669232.039999999</v>
      </c>
      <c r="L86" s="253"/>
    </row>
    <row r="87" spans="1:16" ht="21.75" customHeight="1" outlineLevel="3">
      <c r="A87" s="254" t="s">
        <v>354</v>
      </c>
      <c r="B87" s="254"/>
      <c r="C87" s="254"/>
      <c r="D87" s="95"/>
      <c r="E87" s="96"/>
      <c r="F87" s="97">
        <v>0.04</v>
      </c>
      <c r="G87" s="253">
        <v>578105.87</v>
      </c>
      <c r="H87" s="253"/>
      <c r="I87" s="93">
        <v>578105.87</v>
      </c>
      <c r="J87" s="94"/>
      <c r="K87" s="257">
        <v>0.04</v>
      </c>
      <c r="L87" s="257"/>
    </row>
    <row r="88" spans="1:16" ht="21.75" customHeight="1" outlineLevel="3">
      <c r="A88" s="254" t="s">
        <v>355</v>
      </c>
      <c r="B88" s="254"/>
      <c r="C88" s="254"/>
      <c r="D88" s="95"/>
      <c r="E88" s="96"/>
      <c r="F88" s="93">
        <v>48394429</v>
      </c>
      <c r="G88" s="253">
        <v>81715554</v>
      </c>
      <c r="H88" s="253"/>
      <c r="I88" s="93">
        <v>87990357</v>
      </c>
      <c r="J88" s="94"/>
      <c r="K88" s="253">
        <v>54669232</v>
      </c>
      <c r="L88" s="253"/>
    </row>
    <row r="89" spans="1:16" ht="21.75" customHeight="1" outlineLevel="4">
      <c r="A89" s="258" t="s">
        <v>356</v>
      </c>
      <c r="B89" s="258"/>
      <c r="C89" s="258"/>
      <c r="D89" s="95"/>
      <c r="E89" s="96"/>
      <c r="F89" s="94"/>
      <c r="G89" s="253">
        <v>474304</v>
      </c>
      <c r="H89" s="253"/>
      <c r="I89" s="93">
        <v>474304</v>
      </c>
      <c r="J89" s="94"/>
      <c r="K89" s="95"/>
      <c r="L89" s="96"/>
    </row>
    <row r="90" spans="1:16" ht="21.75" customHeight="1" outlineLevel="4">
      <c r="A90" s="258" t="s">
        <v>357</v>
      </c>
      <c r="B90" s="258"/>
      <c r="C90" s="258"/>
      <c r="D90" s="95"/>
      <c r="E90" s="96"/>
      <c r="F90" s="93">
        <v>48394429</v>
      </c>
      <c r="G90" s="253">
        <v>77757086</v>
      </c>
      <c r="H90" s="253"/>
      <c r="I90" s="93">
        <v>84031889</v>
      </c>
      <c r="J90" s="94"/>
      <c r="K90" s="253">
        <v>54669232</v>
      </c>
      <c r="L90" s="253"/>
    </row>
    <row r="91" spans="1:16" ht="12" customHeight="1" outlineLevel="4">
      <c r="A91" s="258" t="s">
        <v>358</v>
      </c>
      <c r="B91" s="258"/>
      <c r="C91" s="258"/>
      <c r="D91" s="95"/>
      <c r="E91" s="96"/>
      <c r="F91" s="94"/>
      <c r="G91" s="253">
        <v>3484164</v>
      </c>
      <c r="H91" s="253"/>
      <c r="I91" s="93">
        <v>3484164</v>
      </c>
      <c r="J91" s="94"/>
      <c r="K91" s="95"/>
      <c r="L91" s="96"/>
    </row>
    <row r="92" spans="1:16" ht="12" customHeight="1" outlineLevel="2">
      <c r="A92" s="252" t="s">
        <v>359</v>
      </c>
      <c r="B92" s="252"/>
      <c r="C92" s="252"/>
      <c r="D92" s="95"/>
      <c r="E92" s="96"/>
      <c r="F92" s="93">
        <v>3851828.35</v>
      </c>
      <c r="G92" s="253">
        <v>27112010</v>
      </c>
      <c r="H92" s="253"/>
      <c r="I92" s="93">
        <v>27340193</v>
      </c>
      <c r="J92" s="94"/>
      <c r="K92" s="253">
        <v>4080011.35</v>
      </c>
      <c r="L92" s="253"/>
    </row>
    <row r="93" spans="1:16" ht="12" customHeight="1" outlineLevel="2">
      <c r="A93" s="252" t="s">
        <v>360</v>
      </c>
      <c r="B93" s="252"/>
      <c r="C93" s="252"/>
      <c r="D93" s="95"/>
      <c r="E93" s="96"/>
      <c r="F93" s="94"/>
      <c r="G93" s="253">
        <v>5312</v>
      </c>
      <c r="H93" s="253"/>
      <c r="I93" s="93">
        <v>5312</v>
      </c>
      <c r="J93" s="94"/>
      <c r="K93" s="95"/>
      <c r="L93" s="96"/>
    </row>
    <row r="94" spans="1:16" ht="21.75" customHeight="1" outlineLevel="2">
      <c r="A94" s="252" t="s">
        <v>361</v>
      </c>
      <c r="B94" s="252"/>
      <c r="C94" s="252"/>
      <c r="D94" s="95"/>
      <c r="E94" s="96"/>
      <c r="F94" s="94"/>
      <c r="G94" s="253">
        <v>3646</v>
      </c>
      <c r="H94" s="253"/>
      <c r="I94" s="93">
        <v>1055180</v>
      </c>
      <c r="J94" s="94"/>
      <c r="K94" s="253">
        <v>1051534</v>
      </c>
      <c r="L94" s="253"/>
    </row>
    <row r="95" spans="1:16" ht="12" customHeight="1" outlineLevel="2">
      <c r="A95" s="252" t="s">
        <v>362</v>
      </c>
      <c r="B95" s="252"/>
      <c r="C95" s="252"/>
      <c r="D95" s="95"/>
      <c r="E95" s="96"/>
      <c r="F95" s="94"/>
      <c r="G95" s="253">
        <v>1659190</v>
      </c>
      <c r="H95" s="253"/>
      <c r="I95" s="93">
        <v>2009714</v>
      </c>
      <c r="J95" s="94"/>
      <c r="K95" s="253">
        <v>350524</v>
      </c>
      <c r="L95" s="253"/>
    </row>
    <row r="96" spans="1:16" ht="12" customHeight="1" outlineLevel="2">
      <c r="A96" s="252" t="s">
        <v>363</v>
      </c>
      <c r="B96" s="252"/>
      <c r="C96" s="252"/>
      <c r="D96" s="95"/>
      <c r="E96" s="96"/>
      <c r="F96" s="93">
        <v>126423495.81</v>
      </c>
      <c r="G96" s="253">
        <v>280339194.91000003</v>
      </c>
      <c r="H96" s="253"/>
      <c r="I96" s="93">
        <v>369723340.31999999</v>
      </c>
      <c r="J96" s="94"/>
      <c r="K96" s="253">
        <v>215807641.22</v>
      </c>
      <c r="L96" s="253"/>
    </row>
    <row r="97" spans="1:16" ht="32.25" customHeight="1" outlineLevel="1">
      <c r="A97" s="256" t="s">
        <v>364</v>
      </c>
      <c r="B97" s="256"/>
      <c r="C97" s="256"/>
      <c r="D97" s="95"/>
      <c r="E97" s="96"/>
      <c r="F97" s="93">
        <v>11865759.880000001</v>
      </c>
      <c r="G97" s="253">
        <v>86183816</v>
      </c>
      <c r="H97" s="253"/>
      <c r="I97" s="93">
        <v>88499960</v>
      </c>
      <c r="J97" s="94"/>
      <c r="K97" s="253">
        <v>14181903.880000001</v>
      </c>
      <c r="L97" s="253"/>
    </row>
    <row r="98" spans="1:16" ht="21.75" customHeight="1" outlineLevel="2">
      <c r="A98" s="252" t="s">
        <v>365</v>
      </c>
      <c r="B98" s="252"/>
      <c r="C98" s="252"/>
      <c r="D98" s="95"/>
      <c r="E98" s="96"/>
      <c r="F98" s="93">
        <v>3962254.88</v>
      </c>
      <c r="G98" s="253">
        <v>31734049</v>
      </c>
      <c r="H98" s="253"/>
      <c r="I98" s="93">
        <v>33282553</v>
      </c>
      <c r="J98" s="94"/>
      <c r="K98" s="253">
        <v>5510758.8799999999</v>
      </c>
      <c r="L98" s="253"/>
    </row>
    <row r="99" spans="1:16" ht="21.75" customHeight="1" outlineLevel="3">
      <c r="A99" s="254" t="s">
        <v>366</v>
      </c>
      <c r="B99" s="254"/>
      <c r="C99" s="254"/>
      <c r="D99" s="95"/>
      <c r="E99" s="96"/>
      <c r="F99" s="93">
        <v>1669038.13</v>
      </c>
      <c r="G99" s="253">
        <v>12155233</v>
      </c>
      <c r="H99" s="253"/>
      <c r="I99" s="93">
        <v>12576602</v>
      </c>
      <c r="J99" s="94"/>
      <c r="K99" s="253">
        <v>2090407.13</v>
      </c>
      <c r="L99" s="253"/>
    </row>
    <row r="100" spans="1:16" ht="32.25" customHeight="1" outlineLevel="3">
      <c r="A100" s="254" t="s">
        <v>367</v>
      </c>
      <c r="B100" s="254"/>
      <c r="C100" s="254"/>
      <c r="D100" s="95"/>
      <c r="E100" s="96"/>
      <c r="F100" s="93">
        <v>1167450</v>
      </c>
      <c r="G100" s="253">
        <v>8116153</v>
      </c>
      <c r="H100" s="253"/>
      <c r="I100" s="93">
        <v>8318159</v>
      </c>
      <c r="J100" s="94"/>
      <c r="K100" s="253">
        <v>1369456</v>
      </c>
      <c r="L100" s="253"/>
    </row>
    <row r="101" spans="1:16" ht="32.25" customHeight="1" outlineLevel="3">
      <c r="A101" s="254" t="s">
        <v>368</v>
      </c>
      <c r="B101" s="254"/>
      <c r="C101" s="254"/>
      <c r="D101" s="95"/>
      <c r="E101" s="96"/>
      <c r="F101" s="93">
        <v>1125766.75</v>
      </c>
      <c r="G101" s="253">
        <v>11462663</v>
      </c>
      <c r="H101" s="253"/>
      <c r="I101" s="93">
        <v>12387792</v>
      </c>
      <c r="J101" s="94"/>
      <c r="K101" s="253">
        <v>2050895.75</v>
      </c>
      <c r="L101" s="253"/>
    </row>
    <row r="102" spans="1:16" ht="21.75" customHeight="1" outlineLevel="2">
      <c r="A102" s="252" t="s">
        <v>369</v>
      </c>
      <c r="B102" s="252"/>
      <c r="C102" s="252"/>
      <c r="D102" s="95"/>
      <c r="E102" s="96"/>
      <c r="F102" s="93">
        <v>7903505</v>
      </c>
      <c r="G102" s="253">
        <v>54051932</v>
      </c>
      <c r="H102" s="253"/>
      <c r="I102" s="93">
        <v>54819572</v>
      </c>
      <c r="J102" s="94"/>
      <c r="K102" s="253">
        <v>8671145</v>
      </c>
      <c r="L102" s="253"/>
    </row>
    <row r="103" spans="1:16" ht="21.75" customHeight="1" outlineLevel="3">
      <c r="A103" s="254" t="s">
        <v>370</v>
      </c>
      <c r="B103" s="254"/>
      <c r="C103" s="254"/>
      <c r="D103" s="95"/>
      <c r="E103" s="96"/>
      <c r="F103" s="93">
        <v>6762394</v>
      </c>
      <c r="G103" s="253">
        <v>46300907</v>
      </c>
      <c r="H103" s="253"/>
      <c r="I103" s="93">
        <v>46940960</v>
      </c>
      <c r="J103" s="94"/>
      <c r="K103" s="253">
        <v>7402447</v>
      </c>
      <c r="L103" s="253"/>
    </row>
    <row r="104" spans="1:16" ht="32.25" customHeight="1" outlineLevel="3">
      <c r="A104" s="254" t="s">
        <v>371</v>
      </c>
      <c r="B104" s="254"/>
      <c r="C104" s="254"/>
      <c r="D104" s="95"/>
      <c r="E104" s="96"/>
      <c r="F104" s="93">
        <v>1141111</v>
      </c>
      <c r="G104" s="253">
        <v>7751025</v>
      </c>
      <c r="H104" s="253"/>
      <c r="I104" s="93">
        <v>7878612</v>
      </c>
      <c r="J104" s="94"/>
      <c r="K104" s="253">
        <v>1268698</v>
      </c>
      <c r="L104" s="253"/>
    </row>
    <row r="105" spans="1:16" ht="21.75" customHeight="1" outlineLevel="2">
      <c r="A105" s="252" t="s">
        <v>372</v>
      </c>
      <c r="B105" s="252"/>
      <c r="C105" s="252"/>
      <c r="D105" s="95"/>
      <c r="E105" s="96"/>
      <c r="F105" s="94"/>
      <c r="G105" s="253">
        <v>397835</v>
      </c>
      <c r="H105" s="253"/>
      <c r="I105" s="93">
        <v>397835</v>
      </c>
      <c r="J105" s="94"/>
      <c r="K105" s="95"/>
      <c r="L105" s="96"/>
    </row>
    <row r="106" spans="1:16" ht="21.75" customHeight="1" outlineLevel="1">
      <c r="A106" s="256" t="s">
        <v>373</v>
      </c>
      <c r="B106" s="256"/>
      <c r="C106" s="256"/>
      <c r="D106" s="95"/>
      <c r="E106" s="96"/>
      <c r="F106" s="93">
        <v>1359377535.2499998</v>
      </c>
      <c r="G106" s="253">
        <v>4311296575.1900005</v>
      </c>
      <c r="H106" s="253"/>
      <c r="I106" s="93">
        <v>4651844830.7699995</v>
      </c>
      <c r="J106" s="94"/>
      <c r="K106" s="253">
        <v>1699925790.8300002</v>
      </c>
      <c r="L106" s="253"/>
    </row>
    <row r="107" spans="1:16" ht="21.75" customHeight="1" outlineLevel="2">
      <c r="A107" s="252" t="s">
        <v>374</v>
      </c>
      <c r="B107" s="252"/>
      <c r="C107" s="252"/>
      <c r="D107" s="95"/>
      <c r="E107" s="96"/>
      <c r="F107" s="93">
        <v>1322382343.46</v>
      </c>
      <c r="G107" s="253">
        <v>3833516460.8600001</v>
      </c>
      <c r="H107" s="253"/>
      <c r="I107" s="93">
        <v>4164691536.1100001</v>
      </c>
      <c r="J107" s="94"/>
      <c r="K107" s="253">
        <v>1653557418.71</v>
      </c>
      <c r="L107" s="253"/>
      <c r="M107" s="90" t="s">
        <v>463</v>
      </c>
      <c r="N107" s="99">
        <f>(K107+K108+K109+K118+K115)/1000</f>
        <v>1821641.8012099999</v>
      </c>
      <c r="O107" s="99">
        <f>(F107+F108+F109+F118+F115)/1000</f>
        <v>1609026.7834400001</v>
      </c>
      <c r="P107" s="99">
        <f>O107-ОФП!D37</f>
        <v>-0.21655999985523522</v>
      </c>
    </row>
    <row r="108" spans="1:16" ht="21.75" customHeight="1" outlineLevel="2">
      <c r="A108" s="252" t="s">
        <v>375</v>
      </c>
      <c r="B108" s="252"/>
      <c r="C108" s="252"/>
      <c r="D108" s="95"/>
      <c r="E108" s="96"/>
      <c r="F108" s="93">
        <v>35223250.539999999</v>
      </c>
      <c r="G108" s="253">
        <v>467667229.06999999</v>
      </c>
      <c r="H108" s="253"/>
      <c r="I108" s="93">
        <v>477882220.79000002</v>
      </c>
      <c r="J108" s="94"/>
      <c r="K108" s="253">
        <v>45438242.259999998</v>
      </c>
      <c r="L108" s="253"/>
    </row>
    <row r="109" spans="1:16" ht="21.75" customHeight="1" outlineLevel="2">
      <c r="A109" s="252" t="s">
        <v>376</v>
      </c>
      <c r="B109" s="252"/>
      <c r="C109" s="252"/>
      <c r="D109" s="95"/>
      <c r="E109" s="96"/>
      <c r="F109" s="93">
        <v>1771941.25</v>
      </c>
      <c r="G109" s="253">
        <v>10112885.26</v>
      </c>
      <c r="H109" s="253"/>
      <c r="I109" s="93">
        <v>9271073.8699999992</v>
      </c>
      <c r="J109" s="94"/>
      <c r="K109" s="253">
        <v>930129.86</v>
      </c>
      <c r="L109" s="253"/>
    </row>
    <row r="110" spans="1:16" ht="32.25" customHeight="1" outlineLevel="3">
      <c r="A110" s="254" t="s">
        <v>377</v>
      </c>
      <c r="B110" s="254"/>
      <c r="C110" s="254"/>
      <c r="D110" s="95"/>
      <c r="E110" s="96"/>
      <c r="F110" s="93">
        <v>216032.93</v>
      </c>
      <c r="G110" s="253">
        <v>4806209.26</v>
      </c>
      <c r="H110" s="253"/>
      <c r="I110" s="93">
        <v>5478115.8700000001</v>
      </c>
      <c r="J110" s="94"/>
      <c r="K110" s="253">
        <v>887939.54</v>
      </c>
      <c r="L110" s="253"/>
    </row>
    <row r="111" spans="1:16" ht="32.25" customHeight="1" outlineLevel="3">
      <c r="A111" s="254" t="s">
        <v>378</v>
      </c>
      <c r="B111" s="254"/>
      <c r="C111" s="254"/>
      <c r="D111" s="95"/>
      <c r="E111" s="96"/>
      <c r="F111" s="97">
        <v>45</v>
      </c>
      <c r="G111" s="257">
        <v>90</v>
      </c>
      <c r="H111" s="257"/>
      <c r="I111" s="97">
        <v>45</v>
      </c>
      <c r="J111" s="94"/>
      <c r="K111" s="95"/>
      <c r="L111" s="96"/>
    </row>
    <row r="112" spans="1:16" ht="21.75" customHeight="1" outlineLevel="3">
      <c r="A112" s="254" t="s">
        <v>379</v>
      </c>
      <c r="B112" s="254"/>
      <c r="C112" s="254"/>
      <c r="D112" s="95"/>
      <c r="E112" s="96"/>
      <c r="F112" s="93">
        <v>1555863.32</v>
      </c>
      <c r="G112" s="253">
        <v>5306586</v>
      </c>
      <c r="H112" s="253"/>
      <c r="I112" s="93">
        <v>3792913</v>
      </c>
      <c r="J112" s="94"/>
      <c r="K112" s="253">
        <v>42190.32</v>
      </c>
      <c r="L112" s="253"/>
    </row>
    <row r="113" spans="1:16" ht="21.75" customHeight="1" outlineLevel="4">
      <c r="A113" s="258" t="s">
        <v>380</v>
      </c>
      <c r="B113" s="258"/>
      <c r="C113" s="258"/>
      <c r="D113" s="95"/>
      <c r="E113" s="96"/>
      <c r="F113" s="93">
        <v>1555863.32</v>
      </c>
      <c r="G113" s="253">
        <v>5306586</v>
      </c>
      <c r="H113" s="253"/>
      <c r="I113" s="93">
        <v>3792913</v>
      </c>
      <c r="J113" s="94"/>
      <c r="K113" s="253">
        <v>42190.32</v>
      </c>
      <c r="L113" s="253"/>
    </row>
    <row r="114" spans="1:16" ht="21.75" customHeight="1" outlineLevel="1">
      <c r="A114" s="256" t="s">
        <v>381</v>
      </c>
      <c r="B114" s="256"/>
      <c r="C114" s="256"/>
      <c r="D114" s="95"/>
      <c r="E114" s="96"/>
      <c r="F114" s="93">
        <v>58077577.990000002</v>
      </c>
      <c r="G114" s="253">
        <v>37359214.710000001</v>
      </c>
      <c r="H114" s="253"/>
      <c r="I114" s="93">
        <v>72038546.349999994</v>
      </c>
      <c r="J114" s="94"/>
      <c r="K114" s="253">
        <v>92756909.629999995</v>
      </c>
      <c r="L114" s="253"/>
    </row>
    <row r="115" spans="1:16" ht="32.25" customHeight="1" outlineLevel="2">
      <c r="A115" s="252" t="s">
        <v>382</v>
      </c>
      <c r="B115" s="252"/>
      <c r="C115" s="252"/>
      <c r="D115" s="95"/>
      <c r="E115" s="96"/>
      <c r="F115" s="93">
        <v>47816577.990000002</v>
      </c>
      <c r="G115" s="253">
        <v>32249214.710000001</v>
      </c>
      <c r="H115" s="253"/>
      <c r="I115" s="93">
        <v>72038546.349999994</v>
      </c>
      <c r="J115" s="94"/>
      <c r="K115" s="253">
        <v>87605909.629999995</v>
      </c>
      <c r="L115" s="253"/>
    </row>
    <row r="116" spans="1:16" ht="21.75" customHeight="1" outlineLevel="2">
      <c r="A116" s="252" t="s">
        <v>383</v>
      </c>
      <c r="B116" s="252"/>
      <c r="C116" s="252"/>
      <c r="D116" s="95"/>
      <c r="E116" s="96"/>
      <c r="F116" s="93">
        <v>10261000</v>
      </c>
      <c r="G116" s="253">
        <v>5110000</v>
      </c>
      <c r="H116" s="253"/>
      <c r="I116" s="94"/>
      <c r="J116" s="94"/>
      <c r="K116" s="253">
        <v>5151000</v>
      </c>
      <c r="L116" s="253"/>
      <c r="M116" s="90" t="s">
        <v>460</v>
      </c>
      <c r="N116" s="99">
        <f>K116/1000</f>
        <v>5151</v>
      </c>
      <c r="O116" s="99">
        <f>F116/1000</f>
        <v>10261</v>
      </c>
      <c r="P116" s="99">
        <f>ОФП!D34-O116</f>
        <v>0</v>
      </c>
    </row>
    <row r="117" spans="1:16" ht="21.75" customHeight="1" outlineLevel="1">
      <c r="A117" s="256" t="s">
        <v>384</v>
      </c>
      <c r="B117" s="256"/>
      <c r="C117" s="256"/>
      <c r="D117" s="95"/>
      <c r="E117" s="96"/>
      <c r="F117" s="93">
        <v>216014068.19999999</v>
      </c>
      <c r="G117" s="253">
        <v>1049946123.35</v>
      </c>
      <c r="H117" s="253"/>
      <c r="I117" s="93">
        <v>877841282.89999998</v>
      </c>
      <c r="J117" s="94"/>
      <c r="K117" s="253">
        <v>43909227.75</v>
      </c>
      <c r="L117" s="253"/>
    </row>
    <row r="118" spans="1:16" ht="21.75" customHeight="1" outlineLevel="2">
      <c r="A118" s="252" t="s">
        <v>385</v>
      </c>
      <c r="B118" s="252"/>
      <c r="C118" s="252"/>
      <c r="D118" s="95"/>
      <c r="E118" s="96"/>
      <c r="F118" s="93">
        <v>201832670.19999999</v>
      </c>
      <c r="G118" s="253">
        <v>1042386123.35</v>
      </c>
      <c r="H118" s="253"/>
      <c r="I118" s="93">
        <v>874663553.89999998</v>
      </c>
      <c r="J118" s="94"/>
      <c r="K118" s="253">
        <v>34110100.75</v>
      </c>
      <c r="L118" s="253"/>
    </row>
    <row r="119" spans="1:16" ht="21.75" customHeight="1" outlineLevel="2">
      <c r="A119" s="252" t="s">
        <v>386</v>
      </c>
      <c r="B119" s="252"/>
      <c r="C119" s="252"/>
      <c r="D119" s="95"/>
      <c r="E119" s="96"/>
      <c r="F119" s="93">
        <v>14181398</v>
      </c>
      <c r="G119" s="253">
        <v>7560000</v>
      </c>
      <c r="H119" s="253"/>
      <c r="I119" s="93">
        <v>3177729</v>
      </c>
      <c r="J119" s="94"/>
      <c r="K119" s="253">
        <v>9799127</v>
      </c>
      <c r="L119" s="253"/>
      <c r="M119" s="90" t="s">
        <v>461</v>
      </c>
      <c r="N119" s="99">
        <f>K119/1000</f>
        <v>9799.1270000000004</v>
      </c>
      <c r="O119" s="99">
        <f>F119/1000</f>
        <v>14181.397999999999</v>
      </c>
      <c r="P119" s="99">
        <f>O119-ОФП!D35</f>
        <v>0.39799999999922875</v>
      </c>
    </row>
    <row r="120" spans="1:16" ht="12" customHeight="1">
      <c r="A120" s="255" t="s">
        <v>387</v>
      </c>
      <c r="B120" s="255"/>
      <c r="C120" s="255"/>
      <c r="D120" s="95"/>
      <c r="E120" s="96"/>
      <c r="F120" s="93">
        <v>496940694.99000001</v>
      </c>
      <c r="G120" s="95"/>
      <c r="H120" s="96"/>
      <c r="I120" s="93">
        <v>8469603</v>
      </c>
      <c r="J120" s="94"/>
      <c r="K120" s="253">
        <v>505410297.99000001</v>
      </c>
      <c r="L120" s="253"/>
    </row>
    <row r="121" spans="1:16" ht="21.75" customHeight="1" outlineLevel="1">
      <c r="A121" s="256" t="s">
        <v>388</v>
      </c>
      <c r="B121" s="256"/>
      <c r="C121" s="256"/>
      <c r="D121" s="95"/>
      <c r="E121" s="96"/>
      <c r="F121" s="93">
        <v>388415575.70999998</v>
      </c>
      <c r="G121" s="95"/>
      <c r="H121" s="96"/>
      <c r="I121" s="93">
        <v>8469603</v>
      </c>
      <c r="J121" s="94"/>
      <c r="K121" s="253">
        <v>396885178.70999998</v>
      </c>
      <c r="L121" s="253"/>
    </row>
    <row r="122" spans="1:16" ht="21.75" customHeight="1" outlineLevel="2">
      <c r="A122" s="252" t="s">
        <v>389</v>
      </c>
      <c r="B122" s="252"/>
      <c r="C122" s="252"/>
      <c r="D122" s="95"/>
      <c r="E122" s="96"/>
      <c r="F122" s="93">
        <v>388415575.70999998</v>
      </c>
      <c r="G122" s="95"/>
      <c r="H122" s="96"/>
      <c r="I122" s="93">
        <v>8469603</v>
      </c>
      <c r="J122" s="94"/>
      <c r="K122" s="253">
        <v>396885178.70999998</v>
      </c>
      <c r="L122" s="253"/>
      <c r="M122" s="90" t="s">
        <v>459</v>
      </c>
      <c r="N122" s="99">
        <f>K122/1000</f>
        <v>396885.17871000001</v>
      </c>
      <c r="O122" s="99">
        <f>F122/1000</f>
        <v>388415.57571</v>
      </c>
      <c r="P122" s="99">
        <f>O122-ОФП!D29</f>
        <v>-0.42428999999538064</v>
      </c>
    </row>
    <row r="123" spans="1:16" ht="21.75" customHeight="1" outlineLevel="1">
      <c r="A123" s="256" t="s">
        <v>390</v>
      </c>
      <c r="B123" s="256"/>
      <c r="C123" s="256"/>
      <c r="D123" s="95"/>
      <c r="E123" s="96"/>
      <c r="F123" s="93">
        <v>67939628.280000001</v>
      </c>
      <c r="G123" s="95"/>
      <c r="H123" s="96"/>
      <c r="I123" s="94"/>
      <c r="J123" s="94"/>
      <c r="K123" s="253">
        <v>67939628.280000001</v>
      </c>
      <c r="L123" s="253"/>
    </row>
    <row r="124" spans="1:16" ht="32.25" customHeight="1" outlineLevel="2">
      <c r="A124" s="252" t="s">
        <v>391</v>
      </c>
      <c r="B124" s="252"/>
      <c r="C124" s="252"/>
      <c r="D124" s="95"/>
      <c r="E124" s="96"/>
      <c r="F124" s="93">
        <v>67939628.280000001</v>
      </c>
      <c r="G124" s="95"/>
      <c r="H124" s="96"/>
      <c r="I124" s="94"/>
      <c r="J124" s="94"/>
      <c r="K124" s="253">
        <v>67939628.280000001</v>
      </c>
      <c r="L124" s="253"/>
      <c r="M124" s="90" t="s">
        <v>458</v>
      </c>
      <c r="N124" s="99">
        <f>K124/1000</f>
        <v>67939.628280000004</v>
      </c>
      <c r="O124" s="99">
        <f>F124/1000</f>
        <v>67939.628280000004</v>
      </c>
      <c r="P124" s="99">
        <f>O124-ОФП!D31</f>
        <v>-0.37171999999554828</v>
      </c>
    </row>
    <row r="125" spans="1:16" ht="21.75" customHeight="1" outlineLevel="1">
      <c r="A125" s="256" t="s">
        <v>392</v>
      </c>
      <c r="B125" s="256"/>
      <c r="C125" s="256"/>
      <c r="D125" s="95"/>
      <c r="E125" s="96"/>
      <c r="F125" s="93">
        <v>40585491</v>
      </c>
      <c r="G125" s="95"/>
      <c r="H125" s="96"/>
      <c r="I125" s="94"/>
      <c r="J125" s="94"/>
      <c r="K125" s="253">
        <v>40585491</v>
      </c>
      <c r="L125" s="253"/>
    </row>
    <row r="126" spans="1:16" ht="21.75" customHeight="1" outlineLevel="2">
      <c r="A126" s="252" t="s">
        <v>393</v>
      </c>
      <c r="B126" s="252"/>
      <c r="C126" s="252"/>
      <c r="D126" s="95"/>
      <c r="E126" s="96"/>
      <c r="F126" s="93">
        <v>40585491</v>
      </c>
      <c r="G126" s="95"/>
      <c r="H126" s="96"/>
      <c r="I126" s="94"/>
      <c r="J126" s="94"/>
      <c r="K126" s="253">
        <v>40585491</v>
      </c>
      <c r="L126" s="253"/>
      <c r="M126" s="90" t="s">
        <v>457</v>
      </c>
      <c r="N126" s="99">
        <f>K126/1000</f>
        <v>40585.491000000002</v>
      </c>
      <c r="O126" s="99">
        <f>F126/1000</f>
        <v>40585.491000000002</v>
      </c>
      <c r="P126" s="99">
        <f>O126-ОФП!D30</f>
        <v>-0.50899999999819556</v>
      </c>
    </row>
    <row r="127" spans="1:16" ht="12" customHeight="1">
      <c r="A127" s="255" t="s">
        <v>394</v>
      </c>
      <c r="B127" s="255"/>
      <c r="C127" s="255"/>
      <c r="D127" s="95"/>
      <c r="E127" s="96"/>
      <c r="F127" s="93">
        <v>9043963581.0900002</v>
      </c>
      <c r="G127" s="253">
        <v>5824184941.8399992</v>
      </c>
      <c r="H127" s="253"/>
      <c r="I127" s="93">
        <v>8607486330.5699997</v>
      </c>
      <c r="J127" s="94"/>
      <c r="K127" s="253">
        <v>11827264969.82</v>
      </c>
      <c r="L127" s="253"/>
    </row>
    <row r="128" spans="1:16" ht="12" customHeight="1" outlineLevel="1">
      <c r="A128" s="256" t="s">
        <v>395</v>
      </c>
      <c r="B128" s="256"/>
      <c r="C128" s="256"/>
      <c r="D128" s="95"/>
      <c r="E128" s="96"/>
      <c r="F128" s="93">
        <v>10000000000</v>
      </c>
      <c r="G128" s="95"/>
      <c r="H128" s="96"/>
      <c r="I128" s="94"/>
      <c r="J128" s="94"/>
      <c r="K128" s="253">
        <v>10000000000</v>
      </c>
      <c r="L128" s="253"/>
      <c r="M128" s="90" t="s">
        <v>455</v>
      </c>
      <c r="N128" s="99">
        <f>(K128-J130)/1000</f>
        <v>5500000</v>
      </c>
      <c r="O128" s="99">
        <f>(F128-D130)/1000</f>
        <v>5500000</v>
      </c>
      <c r="P128" s="99">
        <f>O128-ОФП!D25</f>
        <v>0</v>
      </c>
    </row>
    <row r="129" spans="1:25" ht="12" customHeight="1" outlineLevel="2">
      <c r="A129" s="252" t="s">
        <v>396</v>
      </c>
      <c r="B129" s="252"/>
      <c r="C129" s="252"/>
      <c r="D129" s="95"/>
      <c r="E129" s="96"/>
      <c r="F129" s="93">
        <v>10000000000</v>
      </c>
      <c r="G129" s="95"/>
      <c r="H129" s="96"/>
      <c r="I129" s="94"/>
      <c r="J129" s="94"/>
      <c r="K129" s="253">
        <v>10000000000</v>
      </c>
      <c r="L129" s="253"/>
    </row>
    <row r="130" spans="1:25" ht="12" customHeight="1" outlineLevel="1">
      <c r="A130" s="256" t="s">
        <v>397</v>
      </c>
      <c r="B130" s="256"/>
      <c r="C130" s="256"/>
      <c r="D130" s="253">
        <v>4500000000</v>
      </c>
      <c r="E130" s="253"/>
      <c r="F130" s="94"/>
      <c r="G130" s="95"/>
      <c r="H130" s="96"/>
      <c r="I130" s="94"/>
      <c r="J130" s="93">
        <v>4500000000</v>
      </c>
      <c r="K130" s="95"/>
      <c r="L130" s="96"/>
    </row>
    <row r="131" spans="1:25" ht="12" customHeight="1" outlineLevel="2">
      <c r="A131" s="252" t="s">
        <v>398</v>
      </c>
      <c r="B131" s="252"/>
      <c r="C131" s="252"/>
      <c r="D131" s="253">
        <v>4500000000</v>
      </c>
      <c r="E131" s="253"/>
      <c r="F131" s="94"/>
      <c r="G131" s="95"/>
      <c r="H131" s="96"/>
      <c r="I131" s="94"/>
      <c r="J131" s="93">
        <v>4500000000</v>
      </c>
      <c r="K131" s="95"/>
      <c r="L131" s="96"/>
    </row>
    <row r="132" spans="1:25" ht="21.75" customHeight="1" outlineLevel="1">
      <c r="A132" s="256" t="s">
        <v>399</v>
      </c>
      <c r="B132" s="256"/>
      <c r="C132" s="256"/>
      <c r="D132" s="95"/>
      <c r="E132" s="96"/>
      <c r="F132" s="93">
        <v>3543963581.0899997</v>
      </c>
      <c r="G132" s="95"/>
      <c r="H132" s="96"/>
      <c r="I132" s="94"/>
      <c r="J132" s="94"/>
      <c r="K132" s="253">
        <v>3543963581.0899997</v>
      </c>
      <c r="L132" s="253"/>
      <c r="M132" s="90" t="s">
        <v>456</v>
      </c>
      <c r="N132" s="99">
        <f>(K132+K135)/1000</f>
        <v>6327264.9698199993</v>
      </c>
      <c r="O132" s="99">
        <f>(F132+F135)/1000</f>
        <v>3543963.5810899995</v>
      </c>
      <c r="P132" s="99">
        <f>O132-ОФП!D26</f>
        <v>-17824.418910000473</v>
      </c>
    </row>
    <row r="133" spans="1:25" ht="21.75" customHeight="1" outlineLevel="2">
      <c r="A133" s="252" t="s">
        <v>400</v>
      </c>
      <c r="B133" s="252"/>
      <c r="C133" s="252"/>
      <c r="D133" s="95"/>
      <c r="E133" s="96"/>
      <c r="F133" s="93">
        <v>2930340137.6099997</v>
      </c>
      <c r="G133" s="95"/>
      <c r="H133" s="96"/>
      <c r="I133" s="94"/>
      <c r="J133" s="94"/>
      <c r="K133" s="253">
        <v>2930340137.6099997</v>
      </c>
      <c r="L133" s="253"/>
    </row>
    <row r="134" spans="1:25" ht="32.25" customHeight="1" outlineLevel="2">
      <c r="A134" s="252" t="s">
        <v>401</v>
      </c>
      <c r="B134" s="252"/>
      <c r="C134" s="252"/>
      <c r="D134" s="95"/>
      <c r="E134" s="96"/>
      <c r="F134" s="93">
        <v>613623443.48000002</v>
      </c>
      <c r="G134" s="95"/>
      <c r="H134" s="96"/>
      <c r="I134" s="94"/>
      <c r="J134" s="94"/>
      <c r="K134" s="253">
        <v>613623443.48000002</v>
      </c>
      <c r="L134" s="253"/>
    </row>
    <row r="135" spans="1:25" ht="21.75" customHeight="1" outlineLevel="1">
      <c r="A135" s="256" t="s">
        <v>402</v>
      </c>
      <c r="B135" s="256"/>
      <c r="C135" s="256"/>
      <c r="D135" s="95"/>
      <c r="E135" s="96"/>
      <c r="F135" s="94"/>
      <c r="G135" s="253">
        <v>5824184941.8399992</v>
      </c>
      <c r="H135" s="253"/>
      <c r="I135" s="93">
        <v>8607486330.5699997</v>
      </c>
      <c r="J135" s="94"/>
      <c r="K135" s="253">
        <v>2783301388.73</v>
      </c>
      <c r="L135" s="253"/>
    </row>
    <row r="136" spans="1:25" ht="21.75" customHeight="1" outlineLevel="2">
      <c r="A136" s="252" t="s">
        <v>403</v>
      </c>
      <c r="B136" s="252"/>
      <c r="C136" s="252"/>
      <c r="D136" s="95"/>
      <c r="E136" s="96"/>
      <c r="F136" s="94"/>
      <c r="G136" s="253">
        <v>5824184941.8399992</v>
      </c>
      <c r="H136" s="253"/>
      <c r="I136" s="93">
        <v>8607486330.5699997</v>
      </c>
      <c r="J136" s="94"/>
      <c r="K136" s="253">
        <v>2783301388.73</v>
      </c>
      <c r="L136" s="253"/>
    </row>
    <row r="137" spans="1:25" ht="12" customHeight="1">
      <c r="A137" s="255" t="s">
        <v>404</v>
      </c>
      <c r="B137" s="255"/>
      <c r="C137" s="255"/>
      <c r="D137" s="95"/>
      <c r="E137" s="96"/>
      <c r="F137" s="94"/>
      <c r="G137" s="253">
        <v>8607479180.1499996</v>
      </c>
      <c r="H137" s="253"/>
      <c r="I137" s="93">
        <v>8607479180.1499996</v>
      </c>
      <c r="J137" s="94"/>
      <c r="K137" s="95"/>
      <c r="L137" s="96"/>
    </row>
    <row r="138" spans="1:25" ht="21.75" customHeight="1" outlineLevel="1">
      <c r="A138" s="256" t="s">
        <v>405</v>
      </c>
      <c r="B138" s="256"/>
      <c r="C138" s="256"/>
      <c r="D138" s="95"/>
      <c r="E138" s="96"/>
      <c r="F138" s="94"/>
      <c r="G138" s="253">
        <v>6061476997.7799997</v>
      </c>
      <c r="H138" s="253"/>
      <c r="I138" s="93">
        <v>6061476997.7799997</v>
      </c>
      <c r="J138" s="94"/>
      <c r="K138" s="95"/>
      <c r="L138" s="96"/>
      <c r="M138" s="90" t="s">
        <v>470</v>
      </c>
      <c r="N138" s="99">
        <f>ОСВ!I139/1000+T155/1000</f>
        <v>6063196.0887500001</v>
      </c>
      <c r="Q138" s="276" t="s">
        <v>266</v>
      </c>
      <c r="R138" s="276"/>
      <c r="S138" s="276"/>
      <c r="T138" s="276"/>
      <c r="V138" s="276" t="s">
        <v>266</v>
      </c>
      <c r="W138" s="276"/>
      <c r="X138" s="276"/>
      <c r="Y138" s="276"/>
    </row>
    <row r="139" spans="1:25" ht="21.75" customHeight="1" outlineLevel="2">
      <c r="A139" s="252" t="s">
        <v>406</v>
      </c>
      <c r="B139" s="252"/>
      <c r="C139" s="252"/>
      <c r="D139" s="95"/>
      <c r="E139" s="96"/>
      <c r="F139" s="94"/>
      <c r="G139" s="253">
        <v>6061476997.7799997</v>
      </c>
      <c r="H139" s="253"/>
      <c r="I139" s="93">
        <v>6061476997.7799997</v>
      </c>
      <c r="J139" s="94"/>
      <c r="K139" s="95"/>
      <c r="L139" s="96"/>
      <c r="M139" s="90" t="s">
        <v>471</v>
      </c>
      <c r="N139" s="99">
        <f>G147/1000+X155/1000</f>
        <v>1326234.0920300002</v>
      </c>
      <c r="Q139" s="243" t="s">
        <v>478</v>
      </c>
      <c r="R139" s="243"/>
      <c r="S139" s="243"/>
      <c r="T139" s="243"/>
      <c r="V139" s="243" t="s">
        <v>497</v>
      </c>
      <c r="W139" s="243"/>
      <c r="X139" s="243"/>
      <c r="Y139" s="243"/>
    </row>
    <row r="140" spans="1:25" ht="12" customHeight="1" outlineLevel="1">
      <c r="A140" s="256" t="s">
        <v>407</v>
      </c>
      <c r="B140" s="256"/>
      <c r="C140" s="256"/>
      <c r="D140" s="95"/>
      <c r="E140" s="96"/>
      <c r="F140" s="94"/>
      <c r="G140" s="253">
        <v>16048870.76</v>
      </c>
      <c r="H140" s="253"/>
      <c r="I140" s="93">
        <v>16048870.76</v>
      </c>
      <c r="J140" s="94"/>
      <c r="K140" s="95"/>
      <c r="L140" s="96"/>
      <c r="Q140" s="100"/>
      <c r="R140" s="100"/>
      <c r="S140" s="100"/>
      <c r="T140" s="100"/>
      <c r="V140" s="100"/>
      <c r="W140" s="100"/>
      <c r="X140" s="100"/>
      <c r="Y140" s="100"/>
    </row>
    <row r="141" spans="1:25" ht="12" customHeight="1" outlineLevel="2">
      <c r="A141" s="252" t="s">
        <v>408</v>
      </c>
      <c r="B141" s="252"/>
      <c r="C141" s="252"/>
      <c r="D141" s="95"/>
      <c r="E141" s="96"/>
      <c r="F141" s="94"/>
      <c r="G141" s="253">
        <v>16048870.76</v>
      </c>
      <c r="H141" s="253"/>
      <c r="I141" s="93">
        <v>16048870.76</v>
      </c>
      <c r="J141" s="94"/>
      <c r="K141" s="95"/>
      <c r="L141" s="96"/>
      <c r="M141" s="90" t="s">
        <v>5</v>
      </c>
      <c r="N141" s="99">
        <f>G149/1000</f>
        <v>1815138.6716499999</v>
      </c>
      <c r="Q141" s="101" t="s">
        <v>268</v>
      </c>
      <c r="R141" s="101" t="s">
        <v>269</v>
      </c>
      <c r="S141" s="100"/>
      <c r="T141" s="100"/>
      <c r="V141" s="101" t="s">
        <v>268</v>
      </c>
      <c r="W141" s="101" t="s">
        <v>269</v>
      </c>
      <c r="X141" s="100"/>
      <c r="Y141" s="100"/>
    </row>
    <row r="142" spans="1:25" ht="12" customHeight="1" outlineLevel="1">
      <c r="A142" s="256" t="s">
        <v>409</v>
      </c>
      <c r="B142" s="256"/>
      <c r="C142" s="256"/>
      <c r="D142" s="95"/>
      <c r="E142" s="96"/>
      <c r="F142" s="94"/>
      <c r="G142" s="253">
        <v>2529953311.6099997</v>
      </c>
      <c r="H142" s="253"/>
      <c r="I142" s="93">
        <v>2529953311.6099997</v>
      </c>
      <c r="J142" s="94"/>
      <c r="K142" s="95"/>
      <c r="L142" s="96"/>
      <c r="Q142" s="100"/>
      <c r="R142" s="100"/>
      <c r="S142" s="100"/>
      <c r="T142" s="100"/>
      <c r="V142" s="100"/>
      <c r="W142" s="100"/>
      <c r="X142" s="100"/>
      <c r="Y142" s="100"/>
    </row>
    <row r="143" spans="1:25" ht="12" customHeight="1" outlineLevel="2">
      <c r="A143" s="252" t="s">
        <v>410</v>
      </c>
      <c r="B143" s="252"/>
      <c r="C143" s="252"/>
      <c r="D143" s="95"/>
      <c r="E143" s="96"/>
      <c r="F143" s="94"/>
      <c r="G143" s="253">
        <v>982142.86</v>
      </c>
      <c r="H143" s="253"/>
      <c r="I143" s="93">
        <v>982142.86</v>
      </c>
      <c r="J143" s="94"/>
      <c r="K143" s="95"/>
      <c r="L143" s="96"/>
      <c r="M143" s="90" t="s">
        <v>472</v>
      </c>
      <c r="N143" s="99">
        <f>G152/1000</f>
        <v>207533.81341999999</v>
      </c>
      <c r="Q143" s="100"/>
      <c r="R143" s="100"/>
      <c r="S143" s="100"/>
      <c r="T143" s="100"/>
      <c r="V143" s="100"/>
      <c r="W143" s="100"/>
      <c r="X143" s="100"/>
      <c r="Y143" s="100"/>
    </row>
    <row r="144" spans="1:25" ht="12" customHeight="1" outlineLevel="2">
      <c r="A144" s="252" t="s">
        <v>411</v>
      </c>
      <c r="B144" s="252"/>
      <c r="C144" s="252"/>
      <c r="D144" s="95"/>
      <c r="E144" s="96"/>
      <c r="F144" s="94"/>
      <c r="G144" s="253">
        <v>2485159330.7800002</v>
      </c>
      <c r="H144" s="253"/>
      <c r="I144" s="93">
        <v>2485159330.7800002</v>
      </c>
      <c r="J144" s="94"/>
      <c r="K144" s="95"/>
      <c r="L144" s="96"/>
      <c r="Q144" s="102" t="s">
        <v>270</v>
      </c>
      <c r="R144" s="102" t="s">
        <v>271</v>
      </c>
      <c r="S144" s="100"/>
      <c r="T144" s="100"/>
      <c r="V144" s="102" t="s">
        <v>270</v>
      </c>
      <c r="W144" s="102" t="s">
        <v>271</v>
      </c>
      <c r="X144" s="100"/>
      <c r="Y144" s="100"/>
    </row>
    <row r="145" spans="1:27" ht="12" customHeight="1" outlineLevel="2">
      <c r="A145" s="252" t="s">
        <v>412</v>
      </c>
      <c r="B145" s="252"/>
      <c r="C145" s="252"/>
      <c r="D145" s="95"/>
      <c r="E145" s="96"/>
      <c r="F145" s="94"/>
      <c r="G145" s="253">
        <v>43811837.969999999</v>
      </c>
      <c r="H145" s="253"/>
      <c r="I145" s="93">
        <v>43811837.969999999</v>
      </c>
      <c r="J145" s="94"/>
      <c r="K145" s="95"/>
      <c r="L145" s="96"/>
      <c r="M145" s="90" t="s">
        <v>473</v>
      </c>
      <c r="N145" s="99">
        <f>T153/1000</f>
        <v>150</v>
      </c>
      <c r="Q145" s="100"/>
      <c r="R145" s="100"/>
      <c r="S145" s="100"/>
      <c r="T145" s="100"/>
      <c r="V145" s="100"/>
      <c r="W145" s="100"/>
      <c r="X145" s="100"/>
      <c r="Y145" s="100"/>
    </row>
    <row r="146" spans="1:27" ht="12" customHeight="1">
      <c r="A146" s="255" t="s">
        <v>413</v>
      </c>
      <c r="B146" s="255"/>
      <c r="C146" s="255"/>
      <c r="D146" s="95"/>
      <c r="E146" s="96"/>
      <c r="F146" s="94"/>
      <c r="G146" s="253">
        <v>5831294595.670001</v>
      </c>
      <c r="H146" s="253"/>
      <c r="I146" s="93">
        <v>5831294595.670001</v>
      </c>
      <c r="J146" s="94"/>
      <c r="K146" s="95"/>
      <c r="L146" s="96"/>
      <c r="Q146" s="103" t="s">
        <v>272</v>
      </c>
      <c r="R146" s="103" t="s">
        <v>479</v>
      </c>
      <c r="S146" s="103" t="s">
        <v>276</v>
      </c>
      <c r="T146" s="103" t="s">
        <v>277</v>
      </c>
      <c r="V146" s="103" t="s">
        <v>272</v>
      </c>
      <c r="W146" s="103" t="s">
        <v>479</v>
      </c>
      <c r="X146" s="103" t="s">
        <v>276</v>
      </c>
      <c r="Y146" s="103" t="s">
        <v>277</v>
      </c>
    </row>
    <row r="147" spans="1:27" ht="21.75" customHeight="1" outlineLevel="1">
      <c r="A147" s="256" t="s">
        <v>414</v>
      </c>
      <c r="B147" s="256"/>
      <c r="C147" s="256"/>
      <c r="D147" s="95"/>
      <c r="E147" s="96"/>
      <c r="F147" s="94"/>
      <c r="G147" s="253">
        <v>1324288908.7900002</v>
      </c>
      <c r="H147" s="253"/>
      <c r="I147" s="93">
        <v>1324288908.7900002</v>
      </c>
      <c r="J147" s="94"/>
      <c r="K147" s="95"/>
      <c r="L147" s="96"/>
      <c r="M147" s="90" t="s">
        <v>474</v>
      </c>
      <c r="N147" s="99">
        <f>(X149-T149)/1000+X161/1000+X164/1000+Z170/1000+G156/1000-I143/1000</f>
        <v>131074.77844000002</v>
      </c>
      <c r="Q147" s="121" t="s">
        <v>412</v>
      </c>
      <c r="R147" s="121" t="s">
        <v>480</v>
      </c>
      <c r="S147" s="106"/>
      <c r="T147" s="106"/>
      <c r="V147" s="121" t="s">
        <v>425</v>
      </c>
      <c r="W147" s="121" t="s">
        <v>480</v>
      </c>
      <c r="X147" s="106"/>
      <c r="Y147" s="106"/>
    </row>
    <row r="148" spans="1:27" ht="32.25" customHeight="1" outlineLevel="2">
      <c r="A148" s="252" t="s">
        <v>415</v>
      </c>
      <c r="B148" s="252"/>
      <c r="C148" s="252"/>
      <c r="D148" s="95"/>
      <c r="E148" s="96"/>
      <c r="F148" s="94"/>
      <c r="G148" s="253">
        <v>1324288908.7900002</v>
      </c>
      <c r="H148" s="253"/>
      <c r="I148" s="93">
        <v>1324288908.7900002</v>
      </c>
      <c r="J148" s="94"/>
      <c r="K148" s="95"/>
      <c r="L148" s="96"/>
      <c r="M148" s="90" t="s">
        <v>8</v>
      </c>
      <c r="Q148" s="107"/>
      <c r="R148" s="122" t="s">
        <v>481</v>
      </c>
      <c r="S148" s="109"/>
      <c r="T148" s="108">
        <v>43811837.969999999</v>
      </c>
      <c r="V148" s="107"/>
      <c r="W148" s="122" t="s">
        <v>481</v>
      </c>
      <c r="X148" s="108">
        <v>151350716.30000001</v>
      </c>
      <c r="Y148" s="108">
        <v>1799553.83</v>
      </c>
    </row>
    <row r="149" spans="1:27" ht="21.75" customHeight="1" outlineLevel="1">
      <c r="A149" s="256" t="s">
        <v>416</v>
      </c>
      <c r="B149" s="256"/>
      <c r="C149" s="256"/>
      <c r="D149" s="95"/>
      <c r="E149" s="96"/>
      <c r="F149" s="94"/>
      <c r="G149" s="253">
        <v>1815138671.6499999</v>
      </c>
      <c r="H149" s="253"/>
      <c r="I149" s="93">
        <v>1815138671.6499999</v>
      </c>
      <c r="J149" s="94"/>
      <c r="K149" s="95"/>
      <c r="L149" s="96"/>
      <c r="M149" s="90" t="s">
        <v>475</v>
      </c>
      <c r="N149" s="99">
        <f>I141/1000</f>
        <v>16048.87076</v>
      </c>
      <c r="Q149" s="107"/>
      <c r="R149" s="123" t="s">
        <v>482</v>
      </c>
      <c r="S149" s="109"/>
      <c r="T149" s="108">
        <v>41942747</v>
      </c>
      <c r="U149" s="90" t="s">
        <v>494</v>
      </c>
      <c r="V149" s="107"/>
      <c r="W149" s="123" t="s">
        <v>482</v>
      </c>
      <c r="X149" s="108">
        <v>149405533.06</v>
      </c>
      <c r="Y149" s="109"/>
      <c r="Z149" s="90" t="s">
        <v>494</v>
      </c>
      <c r="AA149" s="90" t="s">
        <v>523</v>
      </c>
    </row>
    <row r="150" spans="1:27" ht="21.75" customHeight="1" outlineLevel="2">
      <c r="A150" s="252" t="s">
        <v>417</v>
      </c>
      <c r="B150" s="252"/>
      <c r="C150" s="252"/>
      <c r="D150" s="95"/>
      <c r="E150" s="96"/>
      <c r="F150" s="94"/>
      <c r="G150" s="253">
        <v>1815138671.6499999</v>
      </c>
      <c r="H150" s="253"/>
      <c r="I150" s="93">
        <v>1815138671.6499999</v>
      </c>
      <c r="J150" s="94"/>
      <c r="K150" s="95"/>
      <c r="L150" s="96"/>
      <c r="M150" s="90" t="s">
        <v>476</v>
      </c>
      <c r="N150" s="99">
        <f>G153/1000</f>
        <v>11647.332</v>
      </c>
      <c r="Q150" s="107"/>
      <c r="R150" s="124" t="s">
        <v>483</v>
      </c>
      <c r="S150" s="109"/>
      <c r="T150" s="108">
        <v>41942747</v>
      </c>
      <c r="V150" s="107"/>
      <c r="W150" s="124" t="s">
        <v>483</v>
      </c>
      <c r="X150" s="108">
        <v>149405533.06</v>
      </c>
      <c r="Y150" s="109"/>
    </row>
    <row r="151" spans="1:27" ht="12" customHeight="1" outlineLevel="1">
      <c r="A151" s="256" t="s">
        <v>418</v>
      </c>
      <c r="B151" s="256"/>
      <c r="C151" s="256"/>
      <c r="D151" s="95"/>
      <c r="E151" s="96"/>
      <c r="F151" s="94"/>
      <c r="G151" s="253">
        <v>207533813.41999999</v>
      </c>
      <c r="H151" s="253"/>
      <c r="I151" s="93">
        <v>207533813.41999999</v>
      </c>
      <c r="J151" s="94"/>
      <c r="K151" s="95"/>
      <c r="L151" s="96"/>
      <c r="Q151" s="107"/>
      <c r="R151" s="125" t="s">
        <v>484</v>
      </c>
      <c r="S151" s="109"/>
      <c r="T151" s="108">
        <v>41942747</v>
      </c>
      <c r="V151" s="107"/>
      <c r="W151" s="125" t="s">
        <v>484</v>
      </c>
      <c r="X151" s="108">
        <v>149405533.06</v>
      </c>
      <c r="Y151" s="109"/>
    </row>
    <row r="152" spans="1:27" ht="12" customHeight="1" outlineLevel="2">
      <c r="A152" s="252" t="s">
        <v>419</v>
      </c>
      <c r="B152" s="252"/>
      <c r="C152" s="252"/>
      <c r="D152" s="95"/>
      <c r="E152" s="96"/>
      <c r="F152" s="94"/>
      <c r="G152" s="253">
        <v>207533813.41999999</v>
      </c>
      <c r="H152" s="253"/>
      <c r="I152" s="93">
        <v>207533813.41999999</v>
      </c>
      <c r="J152" s="94"/>
      <c r="K152" s="95"/>
      <c r="L152" s="96"/>
      <c r="M152" s="90" t="s">
        <v>477</v>
      </c>
      <c r="N152" s="99">
        <f>(I144-G157)/1000</f>
        <v>989064.85673000023</v>
      </c>
      <c r="Q152" s="107"/>
      <c r="R152" s="123" t="s">
        <v>485</v>
      </c>
      <c r="S152" s="109"/>
      <c r="T152" s="108">
        <v>1869090.97</v>
      </c>
      <c r="V152" s="107"/>
      <c r="W152" s="123" t="s">
        <v>485</v>
      </c>
      <c r="X152" s="109"/>
      <c r="Y152" s="108">
        <v>1799553.83</v>
      </c>
    </row>
    <row r="153" spans="1:27" ht="12" customHeight="1" outlineLevel="1">
      <c r="A153" s="256" t="s">
        <v>420</v>
      </c>
      <c r="B153" s="256"/>
      <c r="C153" s="256"/>
      <c r="D153" s="95"/>
      <c r="E153" s="96"/>
      <c r="F153" s="94"/>
      <c r="G153" s="253">
        <v>11647332</v>
      </c>
      <c r="H153" s="253"/>
      <c r="I153" s="93">
        <v>11647332</v>
      </c>
      <c r="J153" s="94"/>
      <c r="K153" s="95"/>
      <c r="L153" s="96"/>
      <c r="Q153" s="107"/>
      <c r="R153" s="124" t="s">
        <v>486</v>
      </c>
      <c r="S153" s="109"/>
      <c r="T153" s="108">
        <v>150000</v>
      </c>
      <c r="U153" s="90" t="s">
        <v>495</v>
      </c>
      <c r="V153" s="107"/>
      <c r="W153" s="124" t="s">
        <v>498</v>
      </c>
      <c r="X153" s="109"/>
      <c r="Y153" s="108">
        <v>1799553.83</v>
      </c>
    </row>
    <row r="154" spans="1:27" ht="21.75" customHeight="1" outlineLevel="2">
      <c r="A154" s="252" t="s">
        <v>421</v>
      </c>
      <c r="B154" s="252"/>
      <c r="C154" s="252"/>
      <c r="D154" s="95"/>
      <c r="E154" s="96"/>
      <c r="F154" s="94"/>
      <c r="G154" s="253">
        <v>11647332</v>
      </c>
      <c r="H154" s="253"/>
      <c r="I154" s="93">
        <v>11647332</v>
      </c>
      <c r="J154" s="94"/>
      <c r="K154" s="95"/>
      <c r="L154" s="96"/>
      <c r="M154" s="90" t="s">
        <v>527</v>
      </c>
      <c r="N154" s="99">
        <f>G159/1000</f>
        <v>793529.74</v>
      </c>
      <c r="Q154" s="107"/>
      <c r="R154" s="124" t="s">
        <v>487</v>
      </c>
      <c r="S154" s="109"/>
      <c r="T154" s="108">
        <v>1719090.97</v>
      </c>
      <c r="V154" s="107"/>
      <c r="W154" s="125" t="s">
        <v>499</v>
      </c>
      <c r="X154" s="109"/>
      <c r="Y154" s="108">
        <v>1799553.83</v>
      </c>
    </row>
    <row r="155" spans="1:27" ht="12" customHeight="1" outlineLevel="1">
      <c r="A155" s="256" t="s">
        <v>422</v>
      </c>
      <c r="B155" s="256"/>
      <c r="C155" s="256"/>
      <c r="D155" s="95"/>
      <c r="E155" s="96"/>
      <c r="F155" s="94"/>
      <c r="G155" s="253">
        <v>1679156129.8099999</v>
      </c>
      <c r="H155" s="253"/>
      <c r="I155" s="93">
        <v>1679156129.8099999</v>
      </c>
      <c r="J155" s="94"/>
      <c r="K155" s="95"/>
      <c r="L155" s="96"/>
      <c r="Q155" s="107"/>
      <c r="R155" s="125" t="s">
        <v>488</v>
      </c>
      <c r="S155" s="109"/>
      <c r="T155" s="108">
        <v>1719090.97</v>
      </c>
      <c r="U155" s="90" t="s">
        <v>496</v>
      </c>
      <c r="V155" s="107"/>
      <c r="W155" s="123" t="s">
        <v>500</v>
      </c>
      <c r="X155" s="108">
        <v>1945183.24</v>
      </c>
      <c r="Y155" s="109"/>
      <c r="Z155" s="90" t="s">
        <v>522</v>
      </c>
    </row>
    <row r="156" spans="1:27" ht="12" customHeight="1" outlineLevel="2">
      <c r="A156" s="252" t="s">
        <v>423</v>
      </c>
      <c r="B156" s="252"/>
      <c r="C156" s="252"/>
      <c r="D156" s="95"/>
      <c r="E156" s="96"/>
      <c r="F156" s="94"/>
      <c r="G156" s="253">
        <v>10622536.949999999</v>
      </c>
      <c r="H156" s="253"/>
      <c r="I156" s="93">
        <v>10622536.949999999</v>
      </c>
      <c r="J156" s="94"/>
      <c r="K156" s="95"/>
      <c r="L156" s="96"/>
      <c r="Q156" s="107"/>
      <c r="R156" s="122" t="s">
        <v>489</v>
      </c>
      <c r="S156" s="108">
        <v>43811837.969999999</v>
      </c>
      <c r="T156" s="109"/>
      <c r="V156" s="107"/>
      <c r="W156" s="124" t="s">
        <v>501</v>
      </c>
      <c r="X156" s="108">
        <v>48317.58</v>
      </c>
      <c r="Y156" s="109"/>
    </row>
    <row r="157" spans="1:27" ht="12" customHeight="1" outlineLevel="2">
      <c r="A157" s="252" t="s">
        <v>424</v>
      </c>
      <c r="B157" s="252"/>
      <c r="C157" s="252"/>
      <c r="D157" s="95"/>
      <c r="E157" s="96"/>
      <c r="F157" s="94"/>
      <c r="G157" s="253">
        <v>1496094474.05</v>
      </c>
      <c r="H157" s="253"/>
      <c r="I157" s="93">
        <v>1496094474.05</v>
      </c>
      <c r="J157" s="94"/>
      <c r="K157" s="95"/>
      <c r="L157" s="96"/>
      <c r="Q157" s="107"/>
      <c r="R157" s="123" t="s">
        <v>490</v>
      </c>
      <c r="S157" s="108">
        <v>43811837.969999999</v>
      </c>
      <c r="T157" s="109"/>
      <c r="V157" s="107"/>
      <c r="W157" s="124" t="s">
        <v>502</v>
      </c>
      <c r="X157" s="108">
        <v>1896865.66</v>
      </c>
      <c r="Y157" s="109"/>
    </row>
    <row r="158" spans="1:27" ht="12" customHeight="1" outlineLevel="2">
      <c r="A158" s="252" t="s">
        <v>425</v>
      </c>
      <c r="B158" s="252"/>
      <c r="C158" s="252"/>
      <c r="D158" s="95"/>
      <c r="E158" s="96"/>
      <c r="F158" s="94"/>
      <c r="G158" s="253">
        <v>172439118.81</v>
      </c>
      <c r="H158" s="253"/>
      <c r="I158" s="93">
        <v>172439118.81</v>
      </c>
      <c r="J158" s="94"/>
      <c r="K158" s="95"/>
      <c r="L158" s="96"/>
      <c r="Q158" s="107"/>
      <c r="R158" s="124" t="s">
        <v>491</v>
      </c>
      <c r="S158" s="108">
        <v>43811837.969999999</v>
      </c>
      <c r="T158" s="109"/>
      <c r="V158" s="107"/>
      <c r="W158" s="122" t="s">
        <v>442</v>
      </c>
      <c r="X158" s="108">
        <v>1890405.15</v>
      </c>
      <c r="Y158" s="109"/>
    </row>
    <row r="159" spans="1:27" ht="21.75" customHeight="1" outlineLevel="1">
      <c r="A159" s="256" t="s">
        <v>426</v>
      </c>
      <c r="B159" s="256"/>
      <c r="C159" s="256"/>
      <c r="D159" s="95"/>
      <c r="E159" s="96"/>
      <c r="F159" s="94"/>
      <c r="G159" s="253">
        <v>793529740</v>
      </c>
      <c r="H159" s="253"/>
      <c r="I159" s="93">
        <v>793529740</v>
      </c>
      <c r="J159" s="94"/>
      <c r="K159" s="95"/>
      <c r="L159" s="96"/>
      <c r="Q159" s="126"/>
      <c r="R159" s="127" t="s">
        <v>492</v>
      </c>
      <c r="S159" s="128">
        <v>43811837.969999999</v>
      </c>
      <c r="T159" s="128">
        <v>43811837.969999999</v>
      </c>
      <c r="V159" s="107"/>
      <c r="W159" s="123" t="s">
        <v>503</v>
      </c>
      <c r="X159" s="108">
        <v>77070.12</v>
      </c>
      <c r="Y159" s="109"/>
    </row>
    <row r="160" spans="1:27" ht="21.75" customHeight="1" outlineLevel="2">
      <c r="A160" s="252" t="s">
        <v>427</v>
      </c>
      <c r="B160" s="252"/>
      <c r="C160" s="252"/>
      <c r="D160" s="95"/>
      <c r="E160" s="96"/>
      <c r="F160" s="94"/>
      <c r="G160" s="253">
        <v>793529740</v>
      </c>
      <c r="H160" s="253"/>
      <c r="I160" s="93">
        <v>793529740</v>
      </c>
      <c r="J160" s="94"/>
      <c r="K160" s="95"/>
      <c r="L160" s="96"/>
      <c r="Q160" s="126"/>
      <c r="R160" s="127" t="s">
        <v>493</v>
      </c>
      <c r="S160" s="129"/>
      <c r="T160" s="129"/>
      <c r="V160" s="107"/>
      <c r="W160" s="124" t="s">
        <v>504</v>
      </c>
      <c r="X160" s="108">
        <v>77070.12</v>
      </c>
      <c r="Y160" s="109"/>
    </row>
    <row r="161" spans="1:27" ht="12" customHeight="1">
      <c r="A161" s="255" t="s">
        <v>428</v>
      </c>
      <c r="B161" s="255"/>
      <c r="C161" s="255"/>
      <c r="D161" s="95"/>
      <c r="E161" s="96"/>
      <c r="F161" s="94"/>
      <c r="G161" s="253">
        <v>5971739348.5799999</v>
      </c>
      <c r="H161" s="253"/>
      <c r="I161" s="93">
        <v>5971739348.5799999</v>
      </c>
      <c r="J161" s="94"/>
      <c r="K161" s="95"/>
      <c r="L161" s="96"/>
      <c r="V161" s="107"/>
      <c r="W161" s="125" t="s">
        <v>505</v>
      </c>
      <c r="X161" s="108">
        <v>77070.12</v>
      </c>
      <c r="Y161" s="109"/>
      <c r="Z161" s="90" t="s">
        <v>524</v>
      </c>
    </row>
    <row r="162" spans="1:27" ht="12" customHeight="1" outlineLevel="1">
      <c r="A162" s="256" t="s">
        <v>429</v>
      </c>
      <c r="B162" s="256"/>
      <c r="C162" s="256"/>
      <c r="D162" s="95"/>
      <c r="E162" s="96"/>
      <c r="F162" s="94"/>
      <c r="G162" s="253">
        <v>4573925624.1900005</v>
      </c>
      <c r="H162" s="253"/>
      <c r="I162" s="93">
        <v>4573925624.1900005</v>
      </c>
      <c r="J162" s="94"/>
      <c r="K162" s="95"/>
      <c r="L162" s="96"/>
      <c r="V162" s="107"/>
      <c r="W162" s="123" t="s">
        <v>443</v>
      </c>
      <c r="X162" s="108">
        <v>1813335.06</v>
      </c>
      <c r="Y162" s="109"/>
    </row>
    <row r="163" spans="1:27" ht="12" customHeight="1" outlineLevel="2">
      <c r="A163" s="252" t="s">
        <v>430</v>
      </c>
      <c r="B163" s="252"/>
      <c r="C163" s="252"/>
      <c r="D163" s="95"/>
      <c r="E163" s="96"/>
      <c r="F163" s="94"/>
      <c r="G163" s="253">
        <v>4573925624.1900005</v>
      </c>
      <c r="H163" s="253"/>
      <c r="I163" s="93">
        <v>4573925624.1900005</v>
      </c>
      <c r="J163" s="94"/>
      <c r="K163" s="95"/>
      <c r="L163" s="96"/>
      <c r="V163" s="107"/>
      <c r="W163" s="124" t="s">
        <v>446</v>
      </c>
      <c r="X163" s="108">
        <v>1813335.06</v>
      </c>
      <c r="Y163" s="109"/>
    </row>
    <row r="164" spans="1:27" ht="12" customHeight="1" outlineLevel="1">
      <c r="A164" s="256" t="s">
        <v>431</v>
      </c>
      <c r="B164" s="256"/>
      <c r="C164" s="256"/>
      <c r="D164" s="95"/>
      <c r="E164" s="96"/>
      <c r="F164" s="94"/>
      <c r="G164" s="253">
        <v>1397813724.3900001</v>
      </c>
      <c r="H164" s="253"/>
      <c r="I164" s="93">
        <v>1397813724.3900001</v>
      </c>
      <c r="J164" s="94"/>
      <c r="K164" s="95"/>
      <c r="L164" s="96"/>
      <c r="V164" s="107"/>
      <c r="W164" s="125" t="s">
        <v>447</v>
      </c>
      <c r="X164" s="108">
        <v>1813335.06</v>
      </c>
      <c r="Y164" s="109"/>
      <c r="Z164" s="90" t="s">
        <v>525</v>
      </c>
    </row>
    <row r="165" spans="1:27" ht="12" customHeight="1" outlineLevel="2">
      <c r="A165" s="252" t="s">
        <v>432</v>
      </c>
      <c r="B165" s="252"/>
      <c r="C165" s="252"/>
      <c r="D165" s="95"/>
      <c r="E165" s="96"/>
      <c r="F165" s="94"/>
      <c r="G165" s="253">
        <v>1397813724.3900001</v>
      </c>
      <c r="H165" s="253"/>
      <c r="I165" s="93">
        <v>1397813724.3900001</v>
      </c>
      <c r="J165" s="94"/>
      <c r="K165" s="95"/>
      <c r="L165" s="96"/>
      <c r="V165" s="107"/>
      <c r="W165" s="123" t="s">
        <v>506</v>
      </c>
      <c r="X165" s="130">
        <v>-0.03</v>
      </c>
      <c r="Y165" s="109"/>
    </row>
    <row r="166" spans="1:27" ht="24.75" customHeight="1">
      <c r="A166" s="259" t="s">
        <v>104</v>
      </c>
      <c r="B166" s="259"/>
      <c r="C166" s="259"/>
      <c r="D166" s="260">
        <v>12061608107.029999</v>
      </c>
      <c r="E166" s="260"/>
      <c r="F166" s="98">
        <v>12061608107.029999</v>
      </c>
      <c r="G166" s="260">
        <v>92063869131.480011</v>
      </c>
      <c r="H166" s="260"/>
      <c r="I166" s="98">
        <v>92063869131.480011</v>
      </c>
      <c r="J166" s="98">
        <v>14859469516.690001</v>
      </c>
      <c r="K166" s="260">
        <v>14859469516.690001</v>
      </c>
      <c r="L166" s="260"/>
      <c r="V166" s="107"/>
      <c r="W166" s="124" t="s">
        <v>507</v>
      </c>
      <c r="X166" s="130">
        <v>-0.03</v>
      </c>
      <c r="Y166" s="109"/>
    </row>
    <row r="167" spans="1:27">
      <c r="V167" s="107"/>
      <c r="W167" s="125" t="s">
        <v>508</v>
      </c>
      <c r="X167" s="130">
        <v>-0.03</v>
      </c>
      <c r="Y167" s="109"/>
    </row>
    <row r="168" spans="1:27">
      <c r="V168" s="107"/>
      <c r="W168" s="122" t="s">
        <v>509</v>
      </c>
      <c r="X168" s="108">
        <v>19180414.550000001</v>
      </c>
      <c r="Y168" s="108">
        <v>5310100</v>
      </c>
    </row>
    <row r="169" spans="1:27">
      <c r="V169" s="107"/>
      <c r="W169" s="123" t="s">
        <v>510</v>
      </c>
      <c r="X169" s="108">
        <v>19180414.550000001</v>
      </c>
      <c r="Y169" s="108">
        <v>200100</v>
      </c>
    </row>
    <row r="170" spans="1:27">
      <c r="V170" s="107"/>
      <c r="W170" s="124" t="s">
        <v>511</v>
      </c>
      <c r="X170" s="108">
        <v>19180414.550000001</v>
      </c>
      <c r="Y170" s="109"/>
      <c r="Z170" s="113">
        <f>X170-Y152-Y172-Y174+X179</f>
        <v>12081193.109999999</v>
      </c>
      <c r="AA170" s="90" t="s">
        <v>526</v>
      </c>
    </row>
    <row r="171" spans="1:27">
      <c r="V171" s="107"/>
      <c r="W171" s="124" t="s">
        <v>512</v>
      </c>
      <c r="X171" s="109"/>
      <c r="Y171" s="108">
        <v>200100</v>
      </c>
    </row>
    <row r="172" spans="1:27">
      <c r="V172" s="107"/>
      <c r="W172" s="125" t="s">
        <v>513</v>
      </c>
      <c r="X172" s="109"/>
      <c r="Y172" s="108">
        <v>200100</v>
      </c>
    </row>
    <row r="173" spans="1:27">
      <c r="V173" s="107"/>
      <c r="W173" s="131" t="s">
        <v>514</v>
      </c>
      <c r="X173" s="109"/>
      <c r="Y173" s="108">
        <v>200100</v>
      </c>
    </row>
    <row r="174" spans="1:27">
      <c r="V174" s="107"/>
      <c r="W174" s="123" t="s">
        <v>515</v>
      </c>
      <c r="X174" s="109"/>
      <c r="Y174" s="108">
        <v>5110000</v>
      </c>
    </row>
    <row r="175" spans="1:27">
      <c r="V175" s="107"/>
      <c r="W175" s="124" t="s">
        <v>516</v>
      </c>
      <c r="X175" s="109"/>
      <c r="Y175" s="108">
        <v>5110000</v>
      </c>
    </row>
    <row r="176" spans="1:27">
      <c r="V176" s="107"/>
      <c r="W176" s="122" t="s">
        <v>489</v>
      </c>
      <c r="X176" s="108">
        <v>7150.42</v>
      </c>
      <c r="Y176" s="108">
        <v>165329464.97999999</v>
      </c>
    </row>
    <row r="177" spans="22:25">
      <c r="V177" s="107"/>
      <c r="W177" s="123" t="s">
        <v>490</v>
      </c>
      <c r="X177" s="108">
        <v>7150.42</v>
      </c>
      <c r="Y177" s="108">
        <v>165329464.97999999</v>
      </c>
    </row>
    <row r="178" spans="22:25">
      <c r="V178" s="107"/>
      <c r="W178" s="124" t="s">
        <v>491</v>
      </c>
      <c r="X178" s="108">
        <v>7150.42</v>
      </c>
      <c r="Y178" s="108">
        <v>165329464.97999999</v>
      </c>
    </row>
    <row r="179" spans="22:25">
      <c r="V179" s="107"/>
      <c r="W179" s="122" t="s">
        <v>517</v>
      </c>
      <c r="X179" s="108">
        <v>10432.39</v>
      </c>
      <c r="Y179" s="109"/>
    </row>
    <row r="180" spans="22:25">
      <c r="V180" s="107"/>
      <c r="W180" s="123" t="s">
        <v>518</v>
      </c>
      <c r="X180" s="108">
        <v>10431.19</v>
      </c>
      <c r="Y180" s="109"/>
    </row>
    <row r="181" spans="22:25">
      <c r="V181" s="107"/>
      <c r="W181" s="124" t="s">
        <v>519</v>
      </c>
      <c r="X181" s="108">
        <v>10431.19</v>
      </c>
      <c r="Y181" s="109"/>
    </row>
    <row r="182" spans="22:25">
      <c r="V182" s="107"/>
      <c r="W182" s="123" t="s">
        <v>520</v>
      </c>
      <c r="X182" s="132">
        <v>1.2</v>
      </c>
      <c r="Y182" s="109"/>
    </row>
    <row r="183" spans="22:25">
      <c r="V183" s="107"/>
      <c r="W183" s="124" t="s">
        <v>521</v>
      </c>
      <c r="X183" s="132">
        <v>1.2</v>
      </c>
      <c r="Y183" s="109"/>
    </row>
    <row r="184" spans="22:25">
      <c r="V184" s="126"/>
      <c r="W184" s="127" t="s">
        <v>492</v>
      </c>
      <c r="X184" s="128">
        <v>172439118.81</v>
      </c>
      <c r="Y184" s="128">
        <v>172439118.81</v>
      </c>
    </row>
    <row r="185" spans="22:25">
      <c r="V185" s="126"/>
      <c r="W185" s="127" t="s">
        <v>493</v>
      </c>
      <c r="X185" s="129"/>
      <c r="Y185" s="129"/>
    </row>
  </sheetData>
  <mergeCells count="417">
    <mergeCell ref="Q75:Q76"/>
    <mergeCell ref="Q77:Q78"/>
    <mergeCell ref="Q79:Q80"/>
    <mergeCell ref="K166:L166"/>
    <mergeCell ref="R63:R64"/>
    <mergeCell ref="S63:T63"/>
    <mergeCell ref="U63:V63"/>
    <mergeCell ref="W63:X63"/>
    <mergeCell ref="Q65:Q66"/>
    <mergeCell ref="Q67:Q68"/>
    <mergeCell ref="Q69:Q70"/>
    <mergeCell ref="Q71:Q72"/>
    <mergeCell ref="Q73:Q74"/>
    <mergeCell ref="K80:L80"/>
    <mergeCell ref="K72:L72"/>
    <mergeCell ref="Q138:T138"/>
    <mergeCell ref="Q139:T139"/>
    <mergeCell ref="V138:Y138"/>
    <mergeCell ref="V139:Y139"/>
    <mergeCell ref="A164:C164"/>
    <mergeCell ref="G164:H164"/>
    <mergeCell ref="A165:C165"/>
    <mergeCell ref="G165:H165"/>
    <mergeCell ref="A166:C166"/>
    <mergeCell ref="D166:E166"/>
    <mergeCell ref="G166:H166"/>
    <mergeCell ref="A161:C161"/>
    <mergeCell ref="G161:H161"/>
    <mergeCell ref="A162:C162"/>
    <mergeCell ref="G162:H162"/>
    <mergeCell ref="A163:C163"/>
    <mergeCell ref="G163:H163"/>
    <mergeCell ref="A158:C158"/>
    <mergeCell ref="G158:H158"/>
    <mergeCell ref="A159:C159"/>
    <mergeCell ref="G159:H159"/>
    <mergeCell ref="A160:C160"/>
    <mergeCell ref="G160:H160"/>
    <mergeCell ref="A155:C155"/>
    <mergeCell ref="G155:H155"/>
    <mergeCell ref="A156:C156"/>
    <mergeCell ref="G156:H156"/>
    <mergeCell ref="A157:C157"/>
    <mergeCell ref="G157:H157"/>
    <mergeCell ref="A152:C152"/>
    <mergeCell ref="G152:H152"/>
    <mergeCell ref="A153:C153"/>
    <mergeCell ref="G153:H153"/>
    <mergeCell ref="A154:C154"/>
    <mergeCell ref="G154:H154"/>
    <mergeCell ref="A149:C149"/>
    <mergeCell ref="G149:H149"/>
    <mergeCell ref="A150:C150"/>
    <mergeCell ref="G150:H150"/>
    <mergeCell ref="A151:C151"/>
    <mergeCell ref="G151:H151"/>
    <mergeCell ref="A146:C146"/>
    <mergeCell ref="G146:H146"/>
    <mergeCell ref="A147:C147"/>
    <mergeCell ref="G147:H147"/>
    <mergeCell ref="A148:C148"/>
    <mergeCell ref="G148:H148"/>
    <mergeCell ref="A143:C143"/>
    <mergeCell ref="G143:H143"/>
    <mergeCell ref="A144:C144"/>
    <mergeCell ref="G144:H144"/>
    <mergeCell ref="A145:C145"/>
    <mergeCell ref="G145:H145"/>
    <mergeCell ref="A140:C140"/>
    <mergeCell ref="G140:H140"/>
    <mergeCell ref="A141:C141"/>
    <mergeCell ref="G141:H141"/>
    <mergeCell ref="A142:C142"/>
    <mergeCell ref="G142:H142"/>
    <mergeCell ref="A137:C137"/>
    <mergeCell ref="G137:H137"/>
    <mergeCell ref="A138:C138"/>
    <mergeCell ref="G138:H138"/>
    <mergeCell ref="A139:C139"/>
    <mergeCell ref="G139:H139"/>
    <mergeCell ref="A135:C135"/>
    <mergeCell ref="G135:H135"/>
    <mergeCell ref="K135:L135"/>
    <mergeCell ref="A136:C136"/>
    <mergeCell ref="G136:H136"/>
    <mergeCell ref="K136:L136"/>
    <mergeCell ref="A132:C132"/>
    <mergeCell ref="K132:L132"/>
    <mergeCell ref="A133:C133"/>
    <mergeCell ref="K133:L133"/>
    <mergeCell ref="A134:C134"/>
    <mergeCell ref="K134:L134"/>
    <mergeCell ref="A129:C129"/>
    <mergeCell ref="K129:L129"/>
    <mergeCell ref="A130:C130"/>
    <mergeCell ref="D130:E130"/>
    <mergeCell ref="A131:C131"/>
    <mergeCell ref="D131:E131"/>
    <mergeCell ref="A126:C126"/>
    <mergeCell ref="K126:L126"/>
    <mergeCell ref="A127:C127"/>
    <mergeCell ref="G127:H127"/>
    <mergeCell ref="K127:L127"/>
    <mergeCell ref="A128:C128"/>
    <mergeCell ref="K128:L128"/>
    <mergeCell ref="A123:C123"/>
    <mergeCell ref="K123:L123"/>
    <mergeCell ref="A124:C124"/>
    <mergeCell ref="K124:L124"/>
    <mergeCell ref="A125:C125"/>
    <mergeCell ref="K125:L125"/>
    <mergeCell ref="A120:C120"/>
    <mergeCell ref="K120:L120"/>
    <mergeCell ref="A121:C121"/>
    <mergeCell ref="K121:L121"/>
    <mergeCell ref="A122:C122"/>
    <mergeCell ref="K122:L122"/>
    <mergeCell ref="A118:C118"/>
    <mergeCell ref="G118:H118"/>
    <mergeCell ref="K118:L118"/>
    <mergeCell ref="A119:C119"/>
    <mergeCell ref="G119:H119"/>
    <mergeCell ref="K119:L119"/>
    <mergeCell ref="A116:C116"/>
    <mergeCell ref="G116:H116"/>
    <mergeCell ref="K116:L116"/>
    <mergeCell ref="A117:C117"/>
    <mergeCell ref="G117:H117"/>
    <mergeCell ref="K117:L117"/>
    <mergeCell ref="A114:C114"/>
    <mergeCell ref="G114:H114"/>
    <mergeCell ref="K114:L114"/>
    <mergeCell ref="A115:C115"/>
    <mergeCell ref="G115:H115"/>
    <mergeCell ref="K115:L115"/>
    <mergeCell ref="A111:C111"/>
    <mergeCell ref="G111:H111"/>
    <mergeCell ref="A112:C112"/>
    <mergeCell ref="G112:H112"/>
    <mergeCell ref="K112:L112"/>
    <mergeCell ref="A113:C113"/>
    <mergeCell ref="G113:H113"/>
    <mergeCell ref="K113:L113"/>
    <mergeCell ref="A109:C109"/>
    <mergeCell ref="G109:H109"/>
    <mergeCell ref="K109:L109"/>
    <mergeCell ref="A110:C110"/>
    <mergeCell ref="G110:H110"/>
    <mergeCell ref="K110:L110"/>
    <mergeCell ref="A107:C107"/>
    <mergeCell ref="G107:H107"/>
    <mergeCell ref="K107:L107"/>
    <mergeCell ref="A108:C108"/>
    <mergeCell ref="G108:H108"/>
    <mergeCell ref="K108:L108"/>
    <mergeCell ref="A104:C104"/>
    <mergeCell ref="G104:H104"/>
    <mergeCell ref="K104:L104"/>
    <mergeCell ref="A105:C105"/>
    <mergeCell ref="G105:H105"/>
    <mergeCell ref="A106:C106"/>
    <mergeCell ref="G106:H106"/>
    <mergeCell ref="K106:L106"/>
    <mergeCell ref="A102:C102"/>
    <mergeCell ref="G102:H102"/>
    <mergeCell ref="K102:L102"/>
    <mergeCell ref="A103:C103"/>
    <mergeCell ref="G103:H103"/>
    <mergeCell ref="K103:L103"/>
    <mergeCell ref="A100:C100"/>
    <mergeCell ref="G100:H100"/>
    <mergeCell ref="K100:L100"/>
    <mergeCell ref="A101:C101"/>
    <mergeCell ref="G101:H101"/>
    <mergeCell ref="K101:L101"/>
    <mergeCell ref="A98:C98"/>
    <mergeCell ref="G98:H98"/>
    <mergeCell ref="K98:L98"/>
    <mergeCell ref="A99:C99"/>
    <mergeCell ref="G99:H99"/>
    <mergeCell ref="K99:L99"/>
    <mergeCell ref="A96:C96"/>
    <mergeCell ref="G96:H96"/>
    <mergeCell ref="K96:L96"/>
    <mergeCell ref="A97:C97"/>
    <mergeCell ref="G97:H97"/>
    <mergeCell ref="K97:L97"/>
    <mergeCell ref="A94:C94"/>
    <mergeCell ref="G94:H94"/>
    <mergeCell ref="K94:L94"/>
    <mergeCell ref="A95:C95"/>
    <mergeCell ref="G95:H95"/>
    <mergeCell ref="K95:L95"/>
    <mergeCell ref="A91:C91"/>
    <mergeCell ref="G91:H91"/>
    <mergeCell ref="A92:C92"/>
    <mergeCell ref="G92:H92"/>
    <mergeCell ref="K92:L92"/>
    <mergeCell ref="A93:C93"/>
    <mergeCell ref="G93:H93"/>
    <mergeCell ref="A88:C88"/>
    <mergeCell ref="G88:H88"/>
    <mergeCell ref="K88:L88"/>
    <mergeCell ref="A89:C89"/>
    <mergeCell ref="G89:H89"/>
    <mergeCell ref="A90:C90"/>
    <mergeCell ref="G90:H90"/>
    <mergeCell ref="K90:L90"/>
    <mergeCell ref="A86:C86"/>
    <mergeCell ref="G86:H86"/>
    <mergeCell ref="K86:L86"/>
    <mergeCell ref="A87:C87"/>
    <mergeCell ref="G87:H87"/>
    <mergeCell ref="K87:L87"/>
    <mergeCell ref="A83:C83"/>
    <mergeCell ref="G83:H83"/>
    <mergeCell ref="K83:L83"/>
    <mergeCell ref="A84:C84"/>
    <mergeCell ref="G84:H84"/>
    <mergeCell ref="A85:C85"/>
    <mergeCell ref="G85:H85"/>
    <mergeCell ref="K85:L85"/>
    <mergeCell ref="A81:C81"/>
    <mergeCell ref="G81:H81"/>
    <mergeCell ref="K81:L81"/>
    <mergeCell ref="A82:C82"/>
    <mergeCell ref="G82:H82"/>
    <mergeCell ref="K82:L82"/>
    <mergeCell ref="A78:C78"/>
    <mergeCell ref="D78:E78"/>
    <mergeCell ref="G78:H78"/>
    <mergeCell ref="A79:C79"/>
    <mergeCell ref="G79:H79"/>
    <mergeCell ref="A80:C80"/>
    <mergeCell ref="G80:H80"/>
    <mergeCell ref="A75:C75"/>
    <mergeCell ref="D75:E75"/>
    <mergeCell ref="A76:C76"/>
    <mergeCell ref="D76:E76"/>
    <mergeCell ref="G76:H76"/>
    <mergeCell ref="A77:C77"/>
    <mergeCell ref="D77:E77"/>
    <mergeCell ref="G77:H77"/>
    <mergeCell ref="A72:C72"/>
    <mergeCell ref="A73:C73"/>
    <mergeCell ref="D73:E73"/>
    <mergeCell ref="G73:H73"/>
    <mergeCell ref="A74:C74"/>
    <mergeCell ref="D74:E74"/>
    <mergeCell ref="A70:C70"/>
    <mergeCell ref="D70:E70"/>
    <mergeCell ref="G70:H70"/>
    <mergeCell ref="A71:C71"/>
    <mergeCell ref="D71:E71"/>
    <mergeCell ref="G71:H71"/>
    <mergeCell ref="A67:C67"/>
    <mergeCell ref="K67:L67"/>
    <mergeCell ref="A68:C68"/>
    <mergeCell ref="D68:E68"/>
    <mergeCell ref="A69:C69"/>
    <mergeCell ref="D69:E69"/>
    <mergeCell ref="A65:C65"/>
    <mergeCell ref="G65:H65"/>
    <mergeCell ref="K65:L65"/>
    <mergeCell ref="A66:C66"/>
    <mergeCell ref="G66:H66"/>
    <mergeCell ref="K66:L66"/>
    <mergeCell ref="A63:C63"/>
    <mergeCell ref="D63:E63"/>
    <mergeCell ref="G63:H63"/>
    <mergeCell ref="A64:C64"/>
    <mergeCell ref="D64:E64"/>
    <mergeCell ref="G64:H64"/>
    <mergeCell ref="A61:C61"/>
    <mergeCell ref="D61:E61"/>
    <mergeCell ref="G61:H61"/>
    <mergeCell ref="A62:C62"/>
    <mergeCell ref="D62:E62"/>
    <mergeCell ref="G62:H62"/>
    <mergeCell ref="A58:C58"/>
    <mergeCell ref="D58:E58"/>
    <mergeCell ref="A59:C59"/>
    <mergeCell ref="K59:L59"/>
    <mergeCell ref="A60:C60"/>
    <mergeCell ref="K60:L60"/>
    <mergeCell ref="A55:C55"/>
    <mergeCell ref="K55:L55"/>
    <mergeCell ref="A56:C56"/>
    <mergeCell ref="D56:E56"/>
    <mergeCell ref="A57:C57"/>
    <mergeCell ref="D57:E57"/>
    <mergeCell ref="A53:C53"/>
    <mergeCell ref="D53:E53"/>
    <mergeCell ref="G53:H53"/>
    <mergeCell ref="A54:C54"/>
    <mergeCell ref="D54:E54"/>
    <mergeCell ref="G54:H54"/>
    <mergeCell ref="A50:C50"/>
    <mergeCell ref="K50:L50"/>
    <mergeCell ref="A51:C51"/>
    <mergeCell ref="D51:E51"/>
    <mergeCell ref="G51:H51"/>
    <mergeCell ref="A52:C52"/>
    <mergeCell ref="D52:E52"/>
    <mergeCell ref="G52:H52"/>
    <mergeCell ref="A48:C48"/>
    <mergeCell ref="D48:E48"/>
    <mergeCell ref="G48:H48"/>
    <mergeCell ref="A49:C49"/>
    <mergeCell ref="D49:E49"/>
    <mergeCell ref="G49:H49"/>
    <mergeCell ref="A46:C46"/>
    <mergeCell ref="D46:E46"/>
    <mergeCell ref="G46:H46"/>
    <mergeCell ref="A47:C47"/>
    <mergeCell ref="D47:E47"/>
    <mergeCell ref="G47:H47"/>
    <mergeCell ref="A43:C43"/>
    <mergeCell ref="G43:H43"/>
    <mergeCell ref="A44:C44"/>
    <mergeCell ref="G44:H44"/>
    <mergeCell ref="A45:C45"/>
    <mergeCell ref="D45:E45"/>
    <mergeCell ref="G45:H45"/>
    <mergeCell ref="A41:C41"/>
    <mergeCell ref="D41:E41"/>
    <mergeCell ref="G41:H41"/>
    <mergeCell ref="A42:C42"/>
    <mergeCell ref="D42:E42"/>
    <mergeCell ref="G42:H42"/>
    <mergeCell ref="A38:C38"/>
    <mergeCell ref="G38:H38"/>
    <mergeCell ref="A39:C39"/>
    <mergeCell ref="D39:E39"/>
    <mergeCell ref="G39:H39"/>
    <mergeCell ref="A40:C40"/>
    <mergeCell ref="D40:E40"/>
    <mergeCell ref="G40:H40"/>
    <mergeCell ref="A35:C35"/>
    <mergeCell ref="G35:H35"/>
    <mergeCell ref="A36:C36"/>
    <mergeCell ref="D36:E36"/>
    <mergeCell ref="G36:H36"/>
    <mergeCell ref="A37:C37"/>
    <mergeCell ref="G37:H37"/>
    <mergeCell ref="A32:C32"/>
    <mergeCell ref="D32:E32"/>
    <mergeCell ref="A33:C33"/>
    <mergeCell ref="G33:H33"/>
    <mergeCell ref="A34:C34"/>
    <mergeCell ref="G34:H34"/>
    <mergeCell ref="A30:C30"/>
    <mergeCell ref="D30:E30"/>
    <mergeCell ref="G30:H30"/>
    <mergeCell ref="A31:C31"/>
    <mergeCell ref="D31:E31"/>
    <mergeCell ref="G31:H31"/>
    <mergeCell ref="A27:C27"/>
    <mergeCell ref="D27:E27"/>
    <mergeCell ref="G27:H27"/>
    <mergeCell ref="A28:C28"/>
    <mergeCell ref="K28:L28"/>
    <mergeCell ref="A29:C29"/>
    <mergeCell ref="D29:E29"/>
    <mergeCell ref="G29:H29"/>
    <mergeCell ref="A24:C24"/>
    <mergeCell ref="G24:H24"/>
    <mergeCell ref="A25:C25"/>
    <mergeCell ref="D25:E25"/>
    <mergeCell ref="G25:H25"/>
    <mergeCell ref="A26:C26"/>
    <mergeCell ref="D26:E26"/>
    <mergeCell ref="A21:C21"/>
    <mergeCell ref="D21:E21"/>
    <mergeCell ref="G21:H21"/>
    <mergeCell ref="A22:C22"/>
    <mergeCell ref="G22:H22"/>
    <mergeCell ref="A23:C23"/>
    <mergeCell ref="G23:H23"/>
    <mergeCell ref="A18:C18"/>
    <mergeCell ref="D18:E18"/>
    <mergeCell ref="A19:C19"/>
    <mergeCell ref="G12:H12"/>
    <mergeCell ref="K19:L19"/>
    <mergeCell ref="A20:C20"/>
    <mergeCell ref="D20:E20"/>
    <mergeCell ref="G20:H20"/>
    <mergeCell ref="A16:C16"/>
    <mergeCell ref="D16:E16"/>
    <mergeCell ref="G16:H16"/>
    <mergeCell ref="A17:C17"/>
    <mergeCell ref="D17:E17"/>
    <mergeCell ref="G17:H17"/>
    <mergeCell ref="Q55:T55"/>
    <mergeCell ref="Q56:U56"/>
    <mergeCell ref="A1:K1"/>
    <mergeCell ref="A2:K2"/>
    <mergeCell ref="A4:B4"/>
    <mergeCell ref="C4:K4"/>
    <mergeCell ref="A9:C10"/>
    <mergeCell ref="D9:F9"/>
    <mergeCell ref="G9:I9"/>
    <mergeCell ref="J9:L9"/>
    <mergeCell ref="D10:E10"/>
    <mergeCell ref="G10:H10"/>
    <mergeCell ref="A13:C13"/>
    <mergeCell ref="G13:H13"/>
    <mergeCell ref="A14:C14"/>
    <mergeCell ref="G14:H14"/>
    <mergeCell ref="A15:C15"/>
    <mergeCell ref="G15:H15"/>
    <mergeCell ref="K10:L10"/>
    <mergeCell ref="A11:C11"/>
    <mergeCell ref="D11:E11"/>
    <mergeCell ref="G11:H11"/>
    <mergeCell ref="A12:C12"/>
    <mergeCell ref="D12:E12"/>
  </mergeCells>
  <pageMargins left="0.19685039370078738" right="0.19685039370078738" top="0.39370078740157477" bottom="0.39370078740157477" header="0" footer="0"/>
  <pageSetup paperSize="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A84A-131C-44BE-857C-CE964C5D70BF}">
  <sheetPr>
    <pageSetUpPr fitToPage="1"/>
  </sheetPr>
  <dimension ref="A1:F44"/>
  <sheetViews>
    <sheetView tabSelected="1" zoomScaleNormal="100" workbookViewId="0">
      <selection activeCell="C4" sqref="C4"/>
    </sheetView>
  </sheetViews>
  <sheetFormatPr defaultRowHeight="14.4"/>
  <cols>
    <col min="1" max="1" width="43.88671875" customWidth="1"/>
    <col min="2" max="2" width="9.44140625" customWidth="1"/>
    <col min="3" max="3" width="18.5546875" customWidth="1"/>
    <col min="4" max="4" width="18.33203125" customWidth="1"/>
    <col min="5" max="5" width="8.88671875" customWidth="1"/>
    <col min="6" max="6" width="14.109375" hidden="1" customWidth="1"/>
    <col min="7" max="7" width="8.88671875" customWidth="1"/>
  </cols>
  <sheetData>
    <row r="1" spans="1:4" ht="24.75" customHeight="1">
      <c r="A1" s="278" t="s">
        <v>125</v>
      </c>
      <c r="B1" s="278"/>
      <c r="C1" s="278"/>
      <c r="D1" s="278"/>
    </row>
    <row r="2" spans="1:4" ht="36.75" customHeight="1">
      <c r="A2" s="277" t="s">
        <v>265</v>
      </c>
      <c r="B2" s="277"/>
      <c r="C2" s="277"/>
      <c r="D2" s="277"/>
    </row>
    <row r="3" spans="1:4" ht="19.5" customHeight="1">
      <c r="A3" s="19"/>
      <c r="B3" s="19"/>
      <c r="C3" s="19"/>
      <c r="D3" s="19"/>
    </row>
    <row r="4" spans="1:4" ht="15" thickBot="1">
      <c r="A4" s="2" t="s">
        <v>0</v>
      </c>
      <c r="B4" s="4" t="s">
        <v>1</v>
      </c>
      <c r="C4" s="17" t="s">
        <v>650</v>
      </c>
      <c r="D4" s="17" t="s">
        <v>649</v>
      </c>
    </row>
    <row r="5" spans="1:4">
      <c r="A5" s="9" t="s">
        <v>31</v>
      </c>
      <c r="B5" s="10"/>
      <c r="C5" s="10"/>
      <c r="D5" s="10"/>
    </row>
    <row r="6" spans="1:4">
      <c r="A6" s="9" t="s">
        <v>32</v>
      </c>
      <c r="B6" s="10"/>
      <c r="C6" s="10"/>
      <c r="D6" s="37"/>
    </row>
    <row r="7" spans="1:4">
      <c r="A7" s="7" t="s">
        <v>33</v>
      </c>
      <c r="B7" s="8">
        <v>11</v>
      </c>
      <c r="C7" s="20">
        <f>ОСВ!N62</f>
        <v>3832096.2044899995</v>
      </c>
      <c r="D7" s="38">
        <v>3399044</v>
      </c>
    </row>
    <row r="8" spans="1:4">
      <c r="A8" s="7" t="s">
        <v>34</v>
      </c>
      <c r="B8" s="8" t="s">
        <v>35</v>
      </c>
      <c r="C8" s="20">
        <f>ОСВ!N68</f>
        <v>45596.985000000001</v>
      </c>
      <c r="D8" s="38">
        <v>52019</v>
      </c>
    </row>
    <row r="9" spans="1:4">
      <c r="A9" s="7" t="s">
        <v>36</v>
      </c>
      <c r="B9" s="8">
        <v>12</v>
      </c>
      <c r="C9" s="20">
        <f>ОСВ!N63</f>
        <v>373817.99810999999</v>
      </c>
      <c r="D9" s="38">
        <v>383582</v>
      </c>
    </row>
    <row r="10" spans="1:4">
      <c r="A10" s="7" t="s">
        <v>37</v>
      </c>
      <c r="B10" s="8">
        <v>13</v>
      </c>
      <c r="C10" s="20">
        <f>ОСВ!N70</f>
        <v>56758.28961</v>
      </c>
      <c r="D10" s="38">
        <v>48921</v>
      </c>
    </row>
    <row r="11" spans="1:4">
      <c r="A11" s="7" t="s">
        <v>38</v>
      </c>
      <c r="B11" s="8" t="s">
        <v>39</v>
      </c>
      <c r="C11" s="20" t="s">
        <v>20</v>
      </c>
      <c r="D11" s="38" t="s">
        <v>20</v>
      </c>
    </row>
    <row r="12" spans="1:4" ht="22.8">
      <c r="A12" s="7" t="s">
        <v>66</v>
      </c>
      <c r="B12" s="8"/>
      <c r="C12" s="20"/>
      <c r="D12" s="38"/>
    </row>
    <row r="13" spans="1:4" ht="15" thickBot="1">
      <c r="A13" s="7" t="s">
        <v>40</v>
      </c>
      <c r="B13" s="8">
        <v>17</v>
      </c>
      <c r="C13" s="21">
        <f>ОСВ!N18</f>
        <v>89814.347569999998</v>
      </c>
      <c r="D13" s="39">
        <v>85614</v>
      </c>
    </row>
    <row r="14" spans="1:4" s="18" customFormat="1" ht="15" thickBot="1">
      <c r="A14" s="25"/>
      <c r="B14" s="25"/>
      <c r="C14" s="40">
        <f>SUM(C7:C13)</f>
        <v>4398083.8247799994</v>
      </c>
      <c r="D14" s="41">
        <f>SUM(D7:D13)</f>
        <v>3969180</v>
      </c>
    </row>
    <row r="15" spans="1:4">
      <c r="A15" s="9" t="s">
        <v>41</v>
      </c>
      <c r="B15" s="10"/>
      <c r="C15" s="42"/>
      <c r="D15" s="37"/>
    </row>
    <row r="16" spans="1:4">
      <c r="A16" s="7" t="s">
        <v>42</v>
      </c>
      <c r="B16" s="8">
        <v>14</v>
      </c>
      <c r="C16" s="20">
        <f>ОСВ!N29</f>
        <v>4191568.57436</v>
      </c>
      <c r="D16" s="38">
        <v>3434739</v>
      </c>
    </row>
    <row r="17" spans="1:6">
      <c r="A17" s="7" t="s">
        <v>43</v>
      </c>
      <c r="B17" s="8">
        <v>15</v>
      </c>
      <c r="C17" s="20">
        <f>ОСВ!N47</f>
        <v>1486389.98474</v>
      </c>
      <c r="D17" s="38">
        <v>968000</v>
      </c>
    </row>
    <row r="18" spans="1:6">
      <c r="A18" s="7" t="s">
        <v>44</v>
      </c>
      <c r="B18" s="10"/>
      <c r="C18" s="20">
        <f>ОСВ!N38</f>
        <v>1566.57482</v>
      </c>
      <c r="D18" s="38" t="s">
        <v>20</v>
      </c>
    </row>
    <row r="19" spans="1:6">
      <c r="A19" s="7" t="s">
        <v>45</v>
      </c>
      <c r="B19" s="8">
        <v>16</v>
      </c>
      <c r="C19" s="20">
        <f>ОСВ!N20</f>
        <v>3786810.9912999999</v>
      </c>
      <c r="D19" s="38">
        <v>2396677</v>
      </c>
    </row>
    <row r="20" spans="1:6" ht="15" thickBot="1">
      <c r="A20" s="7" t="s">
        <v>46</v>
      </c>
      <c r="B20" s="8">
        <v>17</v>
      </c>
      <c r="C20" s="21">
        <f>ОСВ!N17</f>
        <v>995049.56668999989</v>
      </c>
      <c r="D20" s="39">
        <v>1310839</v>
      </c>
    </row>
    <row r="21" spans="1:6" ht="15" thickBot="1">
      <c r="A21" s="10"/>
      <c r="B21" s="10"/>
      <c r="C21" s="40">
        <f>SUM(C16:C20)</f>
        <v>10461385.691910001</v>
      </c>
      <c r="D21" s="41">
        <f>SUM(D16:D20)</f>
        <v>8110255</v>
      </c>
    </row>
    <row r="22" spans="1:6" ht="15" thickBot="1">
      <c r="A22" s="9" t="s">
        <v>47</v>
      </c>
      <c r="B22" s="10"/>
      <c r="C22" s="23">
        <f>C14+C21</f>
        <v>14859469.516690001</v>
      </c>
      <c r="D22" s="43">
        <f>D14+D21</f>
        <v>12079435</v>
      </c>
    </row>
    <row r="23" spans="1:6" ht="15" thickTop="1">
      <c r="A23" s="9" t="s">
        <v>48</v>
      </c>
      <c r="B23" s="10"/>
      <c r="C23" s="44"/>
      <c r="D23" s="37"/>
    </row>
    <row r="24" spans="1:6">
      <c r="A24" s="9" t="s">
        <v>49</v>
      </c>
      <c r="B24" s="10"/>
      <c r="C24" s="44"/>
      <c r="D24" s="37"/>
    </row>
    <row r="25" spans="1:6">
      <c r="A25" s="7" t="s">
        <v>50</v>
      </c>
      <c r="B25" s="8" t="s">
        <v>51</v>
      </c>
      <c r="C25" s="20">
        <f>ОСВ!N128</f>
        <v>5500000</v>
      </c>
      <c r="D25" s="38">
        <v>5500000</v>
      </c>
    </row>
    <row r="26" spans="1:6" ht="15" thickBot="1">
      <c r="A26" s="7" t="s">
        <v>52</v>
      </c>
      <c r="B26" s="10"/>
      <c r="C26" s="21">
        <f>ОСВ!N132</f>
        <v>6327264.9698199993</v>
      </c>
      <c r="D26" s="39">
        <v>3561788</v>
      </c>
      <c r="F26" s="26">
        <f>C26-D26</f>
        <v>2765476.9698199993</v>
      </c>
    </row>
    <row r="27" spans="1:6" ht="15" thickBot="1">
      <c r="A27" s="10"/>
      <c r="B27" s="10"/>
      <c r="C27" s="21">
        <f>SUM(C25:C26)</f>
        <v>11827264.96982</v>
      </c>
      <c r="D27" s="39">
        <f>D25+D26</f>
        <v>9061788</v>
      </c>
      <c r="F27" s="26">
        <f>F26-'ОДР и ПСД'!C21</f>
        <v>2.9999762773513794E-5</v>
      </c>
    </row>
    <row r="28" spans="1:6">
      <c r="A28" s="9" t="s">
        <v>53</v>
      </c>
      <c r="B28" s="10"/>
      <c r="C28" s="44"/>
      <c r="D28" s="37"/>
      <c r="F28" s="30">
        <f>ОСВ!P132</f>
        <v>-17824.418910000473</v>
      </c>
    </row>
    <row r="29" spans="1:6">
      <c r="A29" s="7" t="s">
        <v>54</v>
      </c>
      <c r="B29" s="8">
        <v>19</v>
      </c>
      <c r="C29" s="20">
        <f>ОСВ!N122</f>
        <v>396885.17871000001</v>
      </c>
      <c r="D29" s="38">
        <v>388416</v>
      </c>
      <c r="F29" s="26">
        <f>F27-F28</f>
        <v>17824.418940000236</v>
      </c>
    </row>
    <row r="30" spans="1:6">
      <c r="A30" s="7" t="s">
        <v>55</v>
      </c>
      <c r="B30" s="8" t="s">
        <v>56</v>
      </c>
      <c r="C30" s="20">
        <f>ОСВ!N126</f>
        <v>40585.491000000002</v>
      </c>
      <c r="D30" s="38">
        <v>40586</v>
      </c>
    </row>
    <row r="31" spans="1:6" ht="15" thickBot="1">
      <c r="A31" s="7" t="s">
        <v>57</v>
      </c>
      <c r="B31" s="8" t="s">
        <v>39</v>
      </c>
      <c r="C31" s="21">
        <f>ОСВ!N124</f>
        <v>67939.628280000004</v>
      </c>
      <c r="D31" s="39">
        <v>67940</v>
      </c>
    </row>
    <row r="32" spans="1:6" ht="15" thickBot="1">
      <c r="A32" s="10"/>
      <c r="B32" s="10"/>
      <c r="C32" s="21">
        <f>SUM(C29:C31)</f>
        <v>505410.29798999999</v>
      </c>
      <c r="D32" s="39">
        <f>D29+D30+D31</f>
        <v>496942</v>
      </c>
    </row>
    <row r="33" spans="1:4">
      <c r="A33" s="9" t="s">
        <v>58</v>
      </c>
      <c r="B33" s="10"/>
      <c r="C33" s="44"/>
      <c r="D33" s="37"/>
    </row>
    <row r="34" spans="1:4">
      <c r="A34" s="7" t="s">
        <v>54</v>
      </c>
      <c r="B34" s="8">
        <v>19</v>
      </c>
      <c r="C34" s="51">
        <f>ОСВ!N116</f>
        <v>5151</v>
      </c>
      <c r="D34" s="38">
        <v>10261</v>
      </c>
    </row>
    <row r="35" spans="1:4">
      <c r="A35" s="7" t="s">
        <v>55</v>
      </c>
      <c r="B35" s="8" t="s">
        <v>56</v>
      </c>
      <c r="C35" s="51">
        <f>ОСВ!N119</f>
        <v>9799.1270000000004</v>
      </c>
      <c r="D35" s="38">
        <v>14181</v>
      </c>
    </row>
    <row r="36" spans="1:4">
      <c r="A36" s="7" t="s">
        <v>59</v>
      </c>
      <c r="B36" s="10"/>
      <c r="C36" s="51">
        <f>ОСВ!N82</f>
        <v>394755.29800999997</v>
      </c>
      <c r="D36" s="38">
        <v>691729</v>
      </c>
    </row>
    <row r="37" spans="1:4">
      <c r="A37" s="7" t="s">
        <v>60</v>
      </c>
      <c r="B37" s="8">
        <v>21</v>
      </c>
      <c r="C37" s="51">
        <f>ОСВ!N107</f>
        <v>1821641.8012099999</v>
      </c>
      <c r="D37" s="38">
        <v>1609027</v>
      </c>
    </row>
    <row r="38" spans="1:4" ht="15" thickBot="1">
      <c r="A38" s="7" t="s">
        <v>61</v>
      </c>
      <c r="B38" s="8">
        <v>22</v>
      </c>
      <c r="C38" s="52">
        <f>ОСВ!N83</f>
        <v>295447.02265999996</v>
      </c>
      <c r="D38" s="39">
        <v>195507</v>
      </c>
    </row>
    <row r="39" spans="1:4" ht="15" thickBot="1">
      <c r="A39" s="10"/>
      <c r="B39" s="10"/>
      <c r="C39" s="21">
        <f>SUM(C34:C38)</f>
        <v>2526794.2488799999</v>
      </c>
      <c r="D39" s="39">
        <f>D34+D35+D36+D37+D38</f>
        <v>2520705</v>
      </c>
    </row>
    <row r="40" spans="1:4" ht="15" thickBot="1">
      <c r="A40" s="9" t="s">
        <v>62</v>
      </c>
      <c r="B40" s="10"/>
      <c r="C40" s="21">
        <f>C32+C39</f>
        <v>3032204.5468699997</v>
      </c>
      <c r="D40" s="39">
        <v>3017647</v>
      </c>
    </row>
    <row r="41" spans="1:4" ht="15" thickBot="1">
      <c r="A41" s="9" t="s">
        <v>63</v>
      </c>
      <c r="B41" s="10"/>
      <c r="C41" s="23">
        <f>C27+C40</f>
        <v>14859469.516690001</v>
      </c>
      <c r="D41" s="43">
        <f>D27+D40</f>
        <v>12079435</v>
      </c>
    </row>
    <row r="42" spans="1:4" ht="15" thickTop="1">
      <c r="A42" s="11"/>
      <c r="B42" s="11"/>
      <c r="C42" s="45">
        <f>C22-C41</f>
        <v>0</v>
      </c>
      <c r="D42" s="45"/>
    </row>
    <row r="43" spans="1:4" ht="15" thickBot="1">
      <c r="A43" s="7" t="s">
        <v>64</v>
      </c>
      <c r="B43" s="8" t="s">
        <v>65</v>
      </c>
      <c r="C43" s="21">
        <f>(C22-C10-C9-C8-C40)/C25*1000</f>
        <v>2063.8348540181823</v>
      </c>
      <c r="D43" s="21">
        <f>(D22-D10-D9-D8-D40)/D25*1000</f>
        <v>1559.5029090909093</v>
      </c>
    </row>
    <row r="44" spans="1:4">
      <c r="C44" s="30"/>
    </row>
  </sheetData>
  <mergeCells count="2">
    <mergeCell ref="A2:D2"/>
    <mergeCell ref="A1:D1"/>
  </mergeCells>
  <pageMargins left="0.70866141732283472" right="0.31496062992125984" top="0.55118110236220474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24FB-F53B-4DC8-AD11-E32B24DC7D1E}">
  <sheetPr>
    <pageSetUpPr fitToPage="1"/>
  </sheetPr>
  <dimension ref="A1:G36"/>
  <sheetViews>
    <sheetView zoomScaleNormal="100" workbookViewId="0">
      <selection activeCell="D12" sqref="D12"/>
    </sheetView>
  </sheetViews>
  <sheetFormatPr defaultRowHeight="14.4"/>
  <cols>
    <col min="1" max="1" width="47.44140625" customWidth="1"/>
    <col min="2" max="2" width="9.33203125" customWidth="1"/>
    <col min="3" max="3" width="20" customWidth="1"/>
    <col min="4" max="4" width="18" customWidth="1"/>
    <col min="6" max="7" width="0" hidden="1" customWidth="1"/>
    <col min="12" max="12" width="9.109375" customWidth="1"/>
  </cols>
  <sheetData>
    <row r="1" spans="1:7">
      <c r="A1" s="278" t="s">
        <v>125</v>
      </c>
      <c r="B1" s="278"/>
      <c r="C1" s="278"/>
      <c r="D1" s="278"/>
    </row>
    <row r="2" spans="1:7" ht="39" customHeight="1">
      <c r="A2" s="277" t="s">
        <v>528</v>
      </c>
      <c r="B2" s="277"/>
      <c r="C2" s="277"/>
      <c r="D2" s="277"/>
    </row>
    <row r="3" spans="1:7" ht="16.5" customHeight="1">
      <c r="D3" s="1"/>
    </row>
    <row r="4" spans="1:7" ht="15" thickBot="1">
      <c r="A4" s="2" t="s">
        <v>0</v>
      </c>
      <c r="B4" s="4" t="s">
        <v>1</v>
      </c>
      <c r="C4" s="40" t="s">
        <v>651</v>
      </c>
      <c r="D4" s="53" t="s">
        <v>652</v>
      </c>
    </row>
    <row r="5" spans="1:7" ht="18.75" customHeight="1">
      <c r="A5" s="7" t="s">
        <v>2</v>
      </c>
      <c r="B5" s="8">
        <v>3</v>
      </c>
      <c r="C5" s="20">
        <f>ОСВ!N138</f>
        <v>6063196.0887500001</v>
      </c>
      <c r="D5" s="20">
        <v>3015945</v>
      </c>
    </row>
    <row r="6" spans="1:7" ht="15" thickBot="1">
      <c r="A6" s="7" t="s">
        <v>3</v>
      </c>
      <c r="B6" s="8">
        <v>4</v>
      </c>
      <c r="C6" s="21">
        <f>-ОСВ!N139+ОФП!F28</f>
        <v>-1344058.5109400006</v>
      </c>
      <c r="D6" s="21">
        <v>-1094019</v>
      </c>
    </row>
    <row r="7" spans="1:7">
      <c r="A7" s="9" t="s">
        <v>4</v>
      </c>
      <c r="B7" s="10"/>
      <c r="C7" s="22">
        <f>C5+C6</f>
        <v>4719137.5778099997</v>
      </c>
      <c r="D7" s="22">
        <f>D5+D6</f>
        <v>1921926</v>
      </c>
    </row>
    <row r="8" spans="1:7">
      <c r="A8" s="7" t="s">
        <v>5</v>
      </c>
      <c r="B8" s="8">
        <v>5</v>
      </c>
      <c r="C8" s="20">
        <f>-ОСВ!N141</f>
        <v>-1815138.6716499999</v>
      </c>
      <c r="D8" s="20">
        <v>-444361</v>
      </c>
    </row>
    <row r="9" spans="1:7">
      <c r="A9" s="7" t="s">
        <v>6</v>
      </c>
      <c r="B9" s="8">
        <v>6</v>
      </c>
      <c r="C9" s="20">
        <f>-ОСВ!N143</f>
        <v>-207533.81341999999</v>
      </c>
      <c r="D9" s="20">
        <v>-186029</v>
      </c>
    </row>
    <row r="10" spans="1:7">
      <c r="A10" s="7" t="s">
        <v>255</v>
      </c>
      <c r="B10" s="8"/>
      <c r="C10" s="20">
        <f>ОСВ!N145</f>
        <v>150</v>
      </c>
      <c r="D10" s="20">
        <v>3865</v>
      </c>
    </row>
    <row r="11" spans="1:7">
      <c r="A11" s="7" t="s">
        <v>7</v>
      </c>
      <c r="B11" s="8">
        <v>7</v>
      </c>
      <c r="C11" s="20">
        <f>-ОСВ!N147</f>
        <v>-131074.77844000002</v>
      </c>
      <c r="D11" s="20">
        <v>-44104</v>
      </c>
    </row>
    <row r="12" spans="1:7" ht="15" thickBot="1">
      <c r="A12" s="7" t="s">
        <v>8</v>
      </c>
      <c r="B12" s="8">
        <v>8</v>
      </c>
      <c r="C12" s="21">
        <v>0</v>
      </c>
      <c r="D12" s="21">
        <v>0</v>
      </c>
    </row>
    <row r="13" spans="1:7">
      <c r="A13" s="9" t="s">
        <v>10</v>
      </c>
      <c r="B13" s="10"/>
      <c r="C13" s="22">
        <f>C7+C8+C9+C11+C12+C10</f>
        <v>2565540.3142999997</v>
      </c>
      <c r="D13" s="22">
        <f>D7+D8+D9+D11+D12+D10</f>
        <v>1251297</v>
      </c>
    </row>
    <row r="14" spans="1:7">
      <c r="A14" s="7" t="s">
        <v>11</v>
      </c>
      <c r="B14" s="8" t="s">
        <v>12</v>
      </c>
      <c r="C14" s="20">
        <f>ОСВ!N149</f>
        <v>16048.87076</v>
      </c>
      <c r="D14" s="20">
        <f>13043-12479</f>
        <v>564</v>
      </c>
      <c r="F14" t="s">
        <v>495</v>
      </c>
      <c r="G14" t="s">
        <v>588</v>
      </c>
    </row>
    <row r="15" spans="1:7">
      <c r="A15" s="7" t="s">
        <v>13</v>
      </c>
      <c r="B15" s="8" t="s">
        <v>14</v>
      </c>
      <c r="C15" s="20">
        <f>-ОСВ!N150</f>
        <v>-11647.332</v>
      </c>
      <c r="D15" s="20">
        <v>-5377</v>
      </c>
      <c r="F15" s="178">
        <f>3177729/1000</f>
        <v>3177.7289999999998</v>
      </c>
      <c r="G15" s="178">
        <f>8469603/1000</f>
        <v>8469.6029999999992</v>
      </c>
    </row>
    <row r="16" spans="1:7" ht="15" thickBot="1">
      <c r="A16" s="7" t="s">
        <v>529</v>
      </c>
      <c r="B16" s="10"/>
      <c r="C16" s="21">
        <f>ОСВ!N152</f>
        <v>989064.85673000023</v>
      </c>
      <c r="D16" s="21">
        <v>12479</v>
      </c>
    </row>
    <row r="17" spans="1:4">
      <c r="A17" s="9" t="s">
        <v>15</v>
      </c>
      <c r="B17" s="10"/>
      <c r="C17" s="22">
        <f>C13+C14+C15+C16</f>
        <v>3559006.7097899998</v>
      </c>
      <c r="D17" s="22">
        <f>D13+D14+D15+D16</f>
        <v>1258963</v>
      </c>
    </row>
    <row r="18" spans="1:4" ht="15" thickBot="1">
      <c r="A18" s="7" t="s">
        <v>16</v>
      </c>
      <c r="B18" s="8" t="s">
        <v>17</v>
      </c>
      <c r="C18" s="21">
        <f>-ОСВ!N154</f>
        <v>-793529.74</v>
      </c>
      <c r="D18" s="21">
        <v>0</v>
      </c>
    </row>
    <row r="19" spans="1:4">
      <c r="A19" s="9" t="s">
        <v>18</v>
      </c>
      <c r="B19" s="10"/>
      <c r="C19" s="22">
        <f>C17+C18</f>
        <v>2765476.9697899995</v>
      </c>
      <c r="D19" s="22">
        <f>D17+D18</f>
        <v>1258963</v>
      </c>
    </row>
    <row r="20" spans="1:4" ht="15" thickBot="1">
      <c r="A20" s="7" t="s">
        <v>19</v>
      </c>
      <c r="B20" s="10"/>
      <c r="C20" s="21">
        <v>0</v>
      </c>
      <c r="D20" s="21">
        <v>0</v>
      </c>
    </row>
    <row r="21" spans="1:4" ht="15" thickBot="1">
      <c r="A21" s="9" t="s">
        <v>21</v>
      </c>
      <c r="B21" s="10"/>
      <c r="C21" s="23">
        <f>C19+C20</f>
        <v>2765476.9697899995</v>
      </c>
      <c r="D21" s="23">
        <f>D19+D20</f>
        <v>1258963</v>
      </c>
    </row>
    <row r="22" spans="1:4" ht="15" thickTop="1">
      <c r="A22" s="11"/>
      <c r="B22" s="11"/>
      <c r="C22" s="24"/>
      <c r="D22" s="24"/>
    </row>
    <row r="23" spans="1:4" ht="15" thickBot="1">
      <c r="A23" s="7" t="s">
        <v>22</v>
      </c>
      <c r="B23" s="8" t="s">
        <v>23</v>
      </c>
      <c r="C23" s="21">
        <f>C21/5500000*1000</f>
        <v>502.81399450727258</v>
      </c>
      <c r="D23" s="21">
        <f>D21/5500000*1000</f>
        <v>228.90236363636362</v>
      </c>
    </row>
    <row r="24" spans="1:4">
      <c r="A24" s="13"/>
    </row>
    <row r="25" spans="1:4">
      <c r="A25" s="12"/>
      <c r="C25" s="30"/>
    </row>
    <row r="26" spans="1:4">
      <c r="A26" s="12"/>
    </row>
    <row r="27" spans="1:4">
      <c r="A27" s="12" t="s">
        <v>530</v>
      </c>
    </row>
    <row r="28" spans="1:4">
      <c r="A28" s="12"/>
    </row>
    <row r="29" spans="1:4">
      <c r="A29" s="12"/>
    </row>
    <row r="30" spans="1:4">
      <c r="A30" s="12" t="s">
        <v>24</v>
      </c>
    </row>
    <row r="31" spans="1:4" ht="16.8">
      <c r="A31" s="14" t="s">
        <v>25</v>
      </c>
    </row>
    <row r="32" spans="1:4">
      <c r="A32" s="15" t="s">
        <v>26</v>
      </c>
      <c r="C32" s="15" t="s">
        <v>27</v>
      </c>
    </row>
    <row r="33" spans="1:3" ht="6" customHeight="1">
      <c r="A33" s="12"/>
    </row>
    <row r="34" spans="1:3">
      <c r="A34" s="12" t="s">
        <v>28</v>
      </c>
      <c r="C34" s="12" t="s">
        <v>29</v>
      </c>
    </row>
    <row r="35" spans="1:3" ht="6" customHeight="1">
      <c r="A35" s="12"/>
    </row>
    <row r="36" spans="1:3">
      <c r="A36" s="12" t="s">
        <v>30</v>
      </c>
    </row>
  </sheetData>
  <mergeCells count="2">
    <mergeCell ref="A2:D2"/>
    <mergeCell ref="A1:D1"/>
  </mergeCells>
  <pageMargins left="0.9055118110236221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CF56-CB21-4E1E-98B4-1BEC7A62DF4A}">
  <sheetPr>
    <pageSetUpPr fitToPage="1"/>
  </sheetPr>
  <dimension ref="A1:L56"/>
  <sheetViews>
    <sheetView zoomScaleNormal="100" workbookViewId="0">
      <selection activeCell="D7" sqref="D7"/>
    </sheetView>
  </sheetViews>
  <sheetFormatPr defaultRowHeight="14.4"/>
  <cols>
    <col min="1" max="1" width="60.33203125" customWidth="1"/>
    <col min="3" max="4" width="17.5546875" customWidth="1"/>
    <col min="8" max="8" width="0" hidden="1" customWidth="1"/>
    <col min="9" max="9" width="17" hidden="1" customWidth="1"/>
    <col min="10" max="10" width="16.5546875" hidden="1" customWidth="1"/>
    <col min="11" max="11" width="18" hidden="1" customWidth="1"/>
    <col min="12" max="12" width="9.109375" hidden="1" customWidth="1"/>
    <col min="13" max="14" width="0" hidden="1" customWidth="1"/>
  </cols>
  <sheetData>
    <row r="1" spans="1:10">
      <c r="A1" s="278" t="s">
        <v>125</v>
      </c>
      <c r="B1" s="278"/>
      <c r="C1" s="278"/>
      <c r="D1" s="278"/>
    </row>
    <row r="2" spans="1:10" ht="39.75" customHeight="1">
      <c r="A2" s="277" t="s">
        <v>253</v>
      </c>
      <c r="B2" s="277"/>
      <c r="C2" s="277"/>
      <c r="D2" s="277"/>
    </row>
    <row r="3" spans="1:10">
      <c r="A3" s="1"/>
      <c r="B3" s="1"/>
      <c r="C3" s="1"/>
      <c r="D3" s="4"/>
    </row>
    <row r="4" spans="1:10">
      <c r="A4" s="2" t="s">
        <v>67</v>
      </c>
      <c r="B4" s="4" t="s">
        <v>1</v>
      </c>
      <c r="C4" s="5">
        <v>2022</v>
      </c>
      <c r="D4" s="5">
        <v>2021</v>
      </c>
    </row>
    <row r="5" spans="1:10" ht="15" thickBot="1">
      <c r="A5" s="3"/>
      <c r="B5" s="3"/>
      <c r="C5" s="6"/>
      <c r="D5" s="6"/>
    </row>
    <row r="6" spans="1:10">
      <c r="A6" s="9" t="s">
        <v>68</v>
      </c>
      <c r="B6" s="10"/>
      <c r="C6" s="10"/>
      <c r="D6" s="10"/>
    </row>
    <row r="7" spans="1:10">
      <c r="A7" s="7" t="s">
        <v>15</v>
      </c>
      <c r="B7" s="10"/>
      <c r="C7" s="20">
        <f>'ОДР и ПСД'!C17</f>
        <v>3559006.7097899998</v>
      </c>
      <c r="D7" s="56">
        <v>803404</v>
      </c>
      <c r="I7" t="s">
        <v>119</v>
      </c>
    </row>
    <row r="8" spans="1:10">
      <c r="A8" s="7" t="s">
        <v>69</v>
      </c>
      <c r="B8" s="10"/>
      <c r="C8" s="44"/>
      <c r="D8" s="57"/>
    </row>
    <row r="9" spans="1:10">
      <c r="A9" s="7" t="s">
        <v>11</v>
      </c>
      <c r="B9" s="8" t="s">
        <v>12</v>
      </c>
      <c r="C9" s="20">
        <f>-'ОДР и ПСД'!C14</f>
        <v>-16048.87076</v>
      </c>
      <c r="D9" s="56">
        <v>-6055</v>
      </c>
      <c r="I9" s="18" t="s">
        <v>112</v>
      </c>
    </row>
    <row r="10" spans="1:10">
      <c r="A10" s="7" t="s">
        <v>13</v>
      </c>
      <c r="B10" s="8" t="s">
        <v>14</v>
      </c>
      <c r="C10" s="20">
        <f>-'ОДР и ПСД'!C15</f>
        <v>11647.332</v>
      </c>
      <c r="D10" s="56">
        <v>24583</v>
      </c>
      <c r="I10" t="s">
        <v>116</v>
      </c>
      <c r="J10" s="49">
        <v>2021</v>
      </c>
    </row>
    <row r="11" spans="1:10">
      <c r="A11" s="7" t="s">
        <v>70</v>
      </c>
      <c r="B11" s="8">
        <v>4.5999999999999996</v>
      </c>
      <c r="C11" s="20">
        <f>J15/1000</f>
        <v>346580.48984000005</v>
      </c>
      <c r="D11" s="56">
        <v>309383</v>
      </c>
      <c r="I11" t="s">
        <v>108</v>
      </c>
      <c r="J11" s="32">
        <v>1541402.38</v>
      </c>
    </row>
    <row r="12" spans="1:10">
      <c r="A12" s="7" t="s">
        <v>8</v>
      </c>
      <c r="B12" s="8">
        <v>8</v>
      </c>
      <c r="C12" s="20">
        <v>0</v>
      </c>
      <c r="D12" s="56">
        <v>155521</v>
      </c>
      <c r="I12" t="s">
        <v>109</v>
      </c>
      <c r="J12" s="32">
        <v>328430212.48000002</v>
      </c>
    </row>
    <row r="13" spans="1:10">
      <c r="A13" s="7" t="s">
        <v>71</v>
      </c>
      <c r="B13" s="31">
        <v>7</v>
      </c>
      <c r="C13" s="56">
        <v>19187</v>
      </c>
      <c r="D13" s="56">
        <v>30839</v>
      </c>
      <c r="I13" t="s">
        <v>110</v>
      </c>
      <c r="J13" s="32">
        <v>9729731.6799999997</v>
      </c>
    </row>
    <row r="14" spans="1:10">
      <c r="A14" s="7" t="s">
        <v>102</v>
      </c>
      <c r="B14" s="10"/>
      <c r="C14" s="56"/>
      <c r="D14" s="56"/>
      <c r="I14" t="s">
        <v>111</v>
      </c>
      <c r="J14" s="32">
        <v>6879143.2999999998</v>
      </c>
    </row>
    <row r="15" spans="1:10" ht="15" thickBot="1">
      <c r="A15" s="7" t="s">
        <v>72</v>
      </c>
      <c r="B15" s="10"/>
      <c r="C15" s="58">
        <f>-J22/1000</f>
        <v>-1506.550379999999</v>
      </c>
      <c r="D15" s="58">
        <v>-13</v>
      </c>
      <c r="J15" s="69">
        <f>SUM(J11:J14)</f>
        <v>346580489.84000003</v>
      </c>
    </row>
    <row r="16" spans="1:10">
      <c r="A16" s="281" t="s">
        <v>73</v>
      </c>
      <c r="B16" s="280"/>
      <c r="C16" s="59"/>
      <c r="D16" s="59"/>
      <c r="I16" s="18" t="s">
        <v>113</v>
      </c>
      <c r="J16" s="32"/>
    </row>
    <row r="17" spans="1:11" s="18" customFormat="1">
      <c r="A17" s="281"/>
      <c r="B17" s="280"/>
      <c r="C17" s="60">
        <f>SUM(C7:C15)</f>
        <v>3918866.1104899999</v>
      </c>
      <c r="D17" s="61">
        <f>SUM(D7:D15)</f>
        <v>1317662</v>
      </c>
      <c r="I17" s="18" t="s">
        <v>116</v>
      </c>
      <c r="J17" s="279">
        <v>2021</v>
      </c>
      <c r="K17" s="279"/>
    </row>
    <row r="18" spans="1:11">
      <c r="A18" s="7" t="s">
        <v>74</v>
      </c>
      <c r="B18" s="10"/>
      <c r="C18" s="20">
        <f>-(ОФП!C16-ОФП!D16)</f>
        <v>-756829.57435999997</v>
      </c>
      <c r="D18" s="56">
        <v>-2304766</v>
      </c>
      <c r="J18" s="48" t="s">
        <v>114</v>
      </c>
      <c r="K18" s="49" t="s">
        <v>115</v>
      </c>
    </row>
    <row r="19" spans="1:11">
      <c r="A19" s="7" t="s">
        <v>75</v>
      </c>
      <c r="B19" s="10"/>
      <c r="C19" s="20">
        <f>-ОФП!C17+ОФП!D17</f>
        <v>-518389.98473999999</v>
      </c>
      <c r="D19" s="56">
        <v>-750773</v>
      </c>
      <c r="I19">
        <v>1030</v>
      </c>
      <c r="J19" s="32">
        <v>30291221.57</v>
      </c>
      <c r="K19" s="32">
        <v>-29797091.84</v>
      </c>
    </row>
    <row r="20" spans="1:11">
      <c r="A20" s="7" t="s">
        <v>76</v>
      </c>
      <c r="B20" s="10"/>
      <c r="C20" s="20">
        <f>-(ОФП!C19-ОФП!D19)</f>
        <v>-1390133.9912999999</v>
      </c>
      <c r="D20" s="56">
        <v>-1462310</v>
      </c>
      <c r="I20">
        <v>1050</v>
      </c>
      <c r="J20" s="32">
        <v>1634987.2</v>
      </c>
      <c r="K20" s="32">
        <v>-622566.55000000005</v>
      </c>
    </row>
    <row r="21" spans="1:11">
      <c r="A21" s="7" t="s">
        <v>77</v>
      </c>
      <c r="B21" s="10"/>
      <c r="C21" s="20">
        <f>ОФП!C38-ОФП!D38</f>
        <v>99940.022659999959</v>
      </c>
      <c r="D21" s="56">
        <v>108521</v>
      </c>
      <c r="I21" t="s">
        <v>104</v>
      </c>
      <c r="J21" s="32">
        <f>SUM(J19:J20)</f>
        <v>31926208.77</v>
      </c>
      <c r="K21" s="32">
        <f>SUM(K19:K20)</f>
        <v>-30419658.390000001</v>
      </c>
    </row>
    <row r="22" spans="1:11" ht="15" thickBot="1">
      <c r="A22" s="7" t="s">
        <v>103</v>
      </c>
      <c r="B22" s="10"/>
      <c r="C22" s="21">
        <f>ОФП!C37-ОФП!D37</f>
        <v>212614.80120999995</v>
      </c>
      <c r="D22" s="58">
        <v>1443425</v>
      </c>
      <c r="I22" s="18" t="s">
        <v>117</v>
      </c>
      <c r="J22" s="69">
        <f>J21+K21</f>
        <v>1506550.379999999</v>
      </c>
      <c r="K22" s="32"/>
    </row>
    <row r="23" spans="1:11">
      <c r="A23" s="282" t="s">
        <v>78</v>
      </c>
      <c r="B23" s="46"/>
      <c r="C23" s="62"/>
      <c r="D23" s="63"/>
      <c r="J23" s="32"/>
      <c r="K23" s="32"/>
    </row>
    <row r="24" spans="1:11">
      <c r="A24" s="282"/>
      <c r="B24" s="47">
        <v>23</v>
      </c>
      <c r="C24" s="60">
        <f>C17+C18+C19+C20+C21+C22</f>
        <v>1566067.3839599998</v>
      </c>
      <c r="D24" s="61">
        <f>D17+D18+D19+D20+D21+D22</f>
        <v>-1648241</v>
      </c>
      <c r="I24" s="18" t="s">
        <v>118</v>
      </c>
      <c r="J24" s="32"/>
    </row>
    <row r="25" spans="1:11">
      <c r="A25" s="7" t="s">
        <v>79</v>
      </c>
      <c r="B25" s="10"/>
      <c r="C25" s="56">
        <f>J27/1000</f>
        <v>6953.7840300000007</v>
      </c>
      <c r="D25" s="56">
        <v>5544</v>
      </c>
      <c r="I25">
        <v>6110</v>
      </c>
      <c r="J25" s="32">
        <v>7203940.3300000001</v>
      </c>
    </row>
    <row r="26" spans="1:11" ht="15" thickBot="1">
      <c r="A26" s="7" t="s">
        <v>80</v>
      </c>
      <c r="B26" s="10"/>
      <c r="C26" s="21">
        <v>-130000</v>
      </c>
      <c r="D26" s="58" t="s">
        <v>20</v>
      </c>
      <c r="I26">
        <v>1412</v>
      </c>
      <c r="J26" s="32">
        <v>250156.3</v>
      </c>
    </row>
    <row r="27" spans="1:11">
      <c r="A27" s="283" t="s">
        <v>81</v>
      </c>
      <c r="B27" s="280"/>
      <c r="C27" s="59"/>
      <c r="D27" s="64"/>
      <c r="J27" s="33">
        <f>J25-J26</f>
        <v>6953784.0300000003</v>
      </c>
    </row>
    <row r="28" spans="1:11" ht="15" thickBot="1">
      <c r="A28" s="283"/>
      <c r="B28" s="280"/>
      <c r="C28" s="65">
        <f>C24+C25+C26</f>
        <v>1443021.1679899998</v>
      </c>
      <c r="D28" s="66">
        <f>D24+D25</f>
        <v>-1642697</v>
      </c>
      <c r="J28" s="32"/>
    </row>
    <row r="29" spans="1:11">
      <c r="A29" s="11"/>
      <c r="B29" s="280"/>
      <c r="C29" s="284"/>
      <c r="D29" s="286"/>
      <c r="I29" t="s">
        <v>120</v>
      </c>
      <c r="J29" t="s">
        <v>126</v>
      </c>
    </row>
    <row r="30" spans="1:11">
      <c r="A30" s="9" t="s">
        <v>82</v>
      </c>
      <c r="B30" s="280"/>
      <c r="C30" s="285"/>
      <c r="D30" s="287"/>
      <c r="I30" t="s">
        <v>121</v>
      </c>
      <c r="J30" s="50">
        <v>384223102.47000003</v>
      </c>
      <c r="K30" s="32">
        <v>515015496.66000003</v>
      </c>
    </row>
    <row r="31" spans="1:11">
      <c r="A31" s="7" t="s">
        <v>83</v>
      </c>
      <c r="B31" s="8">
        <v>11</v>
      </c>
      <c r="C31" s="56">
        <f>(-J30-J32)/1000</f>
        <v>-676617.79695000011</v>
      </c>
      <c r="D31" s="56">
        <v>-3441079</v>
      </c>
      <c r="I31" t="s">
        <v>122</v>
      </c>
      <c r="J31" s="50">
        <v>26383928.579999998</v>
      </c>
      <c r="K31" s="32">
        <f>J31*1.12</f>
        <v>29550000.009600002</v>
      </c>
    </row>
    <row r="32" spans="1:11">
      <c r="A32" s="7" t="s">
        <v>84</v>
      </c>
      <c r="B32" s="8">
        <v>13</v>
      </c>
      <c r="C32" s="56">
        <f>-J31/1000</f>
        <v>-26383.92858</v>
      </c>
      <c r="D32" s="56">
        <v>-22894</v>
      </c>
      <c r="I32" t="s">
        <v>123</v>
      </c>
      <c r="J32" s="50">
        <v>292394694.48000002</v>
      </c>
      <c r="K32" s="32"/>
    </row>
    <row r="33" spans="1:10">
      <c r="A33" s="7" t="s">
        <v>85</v>
      </c>
      <c r="B33" s="8">
        <v>17</v>
      </c>
      <c r="C33" s="56">
        <f>-J34/1000</f>
        <v>-12126.2</v>
      </c>
      <c r="D33" s="56">
        <v>-80626</v>
      </c>
      <c r="J33" s="50"/>
    </row>
    <row r="34" spans="1:10" ht="15" thickBot="1">
      <c r="A34" s="7" t="s">
        <v>86</v>
      </c>
      <c r="B34" s="8">
        <v>19</v>
      </c>
      <c r="C34" s="58">
        <f>-1977.07143-27322+239</f>
        <v>-29060.07143</v>
      </c>
      <c r="D34" s="58">
        <v>-14165</v>
      </c>
      <c r="I34" t="s">
        <v>124</v>
      </c>
      <c r="J34" s="50">
        <v>12126200</v>
      </c>
    </row>
    <row r="35" spans="1:10" ht="24.6" thickBot="1">
      <c r="A35" s="9" t="s">
        <v>87</v>
      </c>
      <c r="B35" s="10"/>
      <c r="C35" s="66">
        <f>SUM(C31:C34)</f>
        <v>-744187.99696000002</v>
      </c>
      <c r="D35" s="66">
        <f>SUM(D31:D34)</f>
        <v>-3558764</v>
      </c>
      <c r="J35" s="50"/>
    </row>
    <row r="36" spans="1:10">
      <c r="A36" s="11"/>
      <c r="B36" s="280"/>
      <c r="C36" s="286"/>
      <c r="D36" s="286"/>
      <c r="J36" s="50"/>
    </row>
    <row r="37" spans="1:10">
      <c r="A37" s="9" t="s">
        <v>88</v>
      </c>
      <c r="B37" s="280"/>
      <c r="C37" s="287"/>
      <c r="D37" s="287"/>
      <c r="J37" s="50"/>
    </row>
    <row r="38" spans="1:10">
      <c r="A38" s="7" t="s">
        <v>89</v>
      </c>
      <c r="B38" s="8" t="s">
        <v>51</v>
      </c>
      <c r="C38" s="56">
        <v>0</v>
      </c>
      <c r="D38" s="56">
        <v>5370000</v>
      </c>
      <c r="J38" s="50"/>
    </row>
    <row r="39" spans="1:10" ht="15" thickBot="1">
      <c r="A39" s="7" t="s">
        <v>90</v>
      </c>
      <c r="B39" s="8" t="s">
        <v>56</v>
      </c>
      <c r="C39" s="58">
        <v>-11260</v>
      </c>
      <c r="D39" s="58">
        <v>-12960</v>
      </c>
    </row>
    <row r="40" spans="1:10" ht="15" thickBot="1">
      <c r="A40" s="9" t="s">
        <v>91</v>
      </c>
      <c r="B40" s="10"/>
      <c r="C40" s="66">
        <f>SUM(C38:C39)</f>
        <v>-11260</v>
      </c>
      <c r="D40" s="66">
        <f>SUM(D38:D39)</f>
        <v>5357040</v>
      </c>
    </row>
    <row r="41" spans="1:10">
      <c r="A41" s="11"/>
      <c r="B41" s="280"/>
      <c r="C41" s="67"/>
      <c r="D41" s="67"/>
    </row>
    <row r="42" spans="1:10">
      <c r="A42" s="7" t="s">
        <v>92</v>
      </c>
      <c r="B42" s="280"/>
      <c r="C42" s="56">
        <f>C28+C35+C40</f>
        <v>687573.17102999974</v>
      </c>
      <c r="D42" s="56">
        <f>D28+D35+D40</f>
        <v>155579</v>
      </c>
    </row>
    <row r="43" spans="1:10">
      <c r="A43" s="7" t="s">
        <v>93</v>
      </c>
      <c r="B43" s="10"/>
      <c r="C43" s="56">
        <f>-C15</f>
        <v>1506.550379999999</v>
      </c>
      <c r="D43" s="56">
        <v>13</v>
      </c>
    </row>
    <row r="44" spans="1:10" ht="15" thickBot="1">
      <c r="A44" s="7" t="s">
        <v>94</v>
      </c>
      <c r="B44" s="10"/>
      <c r="C44" s="58">
        <f>D45</f>
        <v>247136</v>
      </c>
      <c r="D44" s="58">
        <v>91544</v>
      </c>
      <c r="E44" s="26"/>
    </row>
    <row r="45" spans="1:10" ht="15" thickBot="1">
      <c r="A45" s="9" t="s">
        <v>95</v>
      </c>
      <c r="B45" s="8">
        <v>17</v>
      </c>
      <c r="C45" s="68">
        <f>SUM(C42:C44)</f>
        <v>936215.72140999977</v>
      </c>
      <c r="D45" s="68">
        <f>SUM(D42:D44)</f>
        <v>247136</v>
      </c>
    </row>
    <row r="46" spans="1:10" ht="15" thickTop="1">
      <c r="A46" s="27"/>
      <c r="C46" s="55"/>
      <c r="D46" s="55"/>
    </row>
    <row r="47" spans="1:10">
      <c r="A47" s="28" t="s">
        <v>96</v>
      </c>
      <c r="C47" s="38"/>
    </row>
    <row r="48" spans="1:10">
      <c r="A48" s="29"/>
    </row>
    <row r="49" spans="1:4">
      <c r="A49" s="16"/>
      <c r="B49" s="16"/>
      <c r="C49" s="16"/>
      <c r="D49" s="4"/>
    </row>
    <row r="50" spans="1:4">
      <c r="A50" s="2" t="s">
        <v>67</v>
      </c>
      <c r="B50" s="4" t="s">
        <v>1</v>
      </c>
      <c r="C50" s="5">
        <v>2021</v>
      </c>
      <c r="D50" s="5">
        <v>2020</v>
      </c>
    </row>
    <row r="51" spans="1:4" ht="15" thickBot="1">
      <c r="A51" s="3"/>
      <c r="B51" s="3"/>
      <c r="C51" s="6"/>
      <c r="D51" s="6"/>
    </row>
    <row r="52" spans="1:4">
      <c r="A52" s="7" t="s">
        <v>97</v>
      </c>
      <c r="B52" s="8">
        <v>19</v>
      </c>
      <c r="C52" s="20" t="s">
        <v>9</v>
      </c>
      <c r="D52" s="20">
        <v>413448</v>
      </c>
    </row>
    <row r="53" spans="1:4">
      <c r="A53" s="7" t="s">
        <v>98</v>
      </c>
      <c r="B53" s="8">
        <v>19</v>
      </c>
      <c r="C53" s="20" t="s">
        <v>9</v>
      </c>
      <c r="D53" s="20">
        <v>30127</v>
      </c>
    </row>
    <row r="54" spans="1:4">
      <c r="A54" s="7" t="s">
        <v>99</v>
      </c>
      <c r="B54" s="8">
        <v>20</v>
      </c>
      <c r="C54" s="20">
        <v>60217</v>
      </c>
      <c r="D54" s="20">
        <v>59262</v>
      </c>
    </row>
    <row r="55" spans="1:4">
      <c r="A55" s="7" t="s">
        <v>100</v>
      </c>
      <c r="B55" s="8">
        <v>20</v>
      </c>
      <c r="C55" s="20">
        <v>-42564</v>
      </c>
      <c r="D55" s="20">
        <v>-4878</v>
      </c>
    </row>
    <row r="56" spans="1:4" ht="15" thickBot="1">
      <c r="A56" s="7" t="s">
        <v>101</v>
      </c>
      <c r="B56" s="10"/>
      <c r="C56" s="21">
        <v>773</v>
      </c>
      <c r="D56" s="21">
        <v>511</v>
      </c>
    </row>
  </sheetData>
  <mergeCells count="15">
    <mergeCell ref="A1:D1"/>
    <mergeCell ref="J17:K17"/>
    <mergeCell ref="B41:B42"/>
    <mergeCell ref="A16:A17"/>
    <mergeCell ref="B16:B17"/>
    <mergeCell ref="A23:A24"/>
    <mergeCell ref="A27:A28"/>
    <mergeCell ref="B27:B28"/>
    <mergeCell ref="B29:B30"/>
    <mergeCell ref="A2:D2"/>
    <mergeCell ref="C29:C30"/>
    <mergeCell ref="D29:D30"/>
    <mergeCell ref="B36:B37"/>
    <mergeCell ref="C36:C37"/>
    <mergeCell ref="D36:D37"/>
  </mergeCells>
  <pageMargins left="0.70866141732283472" right="0.31496062992125984" top="0.74803149606299213" bottom="0.55118110236220474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C01C-0716-496E-BFDE-647CC40E9BF0}">
  <sheetPr>
    <pageSetUpPr fitToPage="1"/>
  </sheetPr>
  <dimension ref="A1:G133"/>
  <sheetViews>
    <sheetView zoomScaleNormal="100" workbookViewId="0">
      <selection activeCell="D4" sqref="D4"/>
    </sheetView>
  </sheetViews>
  <sheetFormatPr defaultRowHeight="14.4"/>
  <cols>
    <col min="1" max="1" width="60.33203125" customWidth="1"/>
    <col min="2" max="2" width="10.77734375" customWidth="1"/>
    <col min="3" max="4" width="17.5546875" customWidth="1"/>
    <col min="6" max="6" width="13.44140625" bestFit="1" customWidth="1"/>
    <col min="9" max="9" width="9.109375" customWidth="1"/>
  </cols>
  <sheetData>
    <row r="1" spans="1:7">
      <c r="A1" s="278" t="s">
        <v>125</v>
      </c>
      <c r="B1" s="278"/>
      <c r="C1" s="278"/>
      <c r="D1" s="278"/>
    </row>
    <row r="2" spans="1:7" ht="39.75" customHeight="1">
      <c r="A2" s="277" t="s">
        <v>531</v>
      </c>
      <c r="B2" s="277"/>
      <c r="C2" s="277"/>
      <c r="D2" s="277"/>
    </row>
    <row r="3" spans="1:7">
      <c r="A3" s="1"/>
      <c r="B3" s="1"/>
      <c r="C3" s="1"/>
      <c r="D3" s="4"/>
    </row>
    <row r="4" spans="1:7">
      <c r="A4" s="2" t="s">
        <v>67</v>
      </c>
      <c r="B4" s="4" t="s">
        <v>1</v>
      </c>
      <c r="C4" s="5" t="s">
        <v>653</v>
      </c>
      <c r="D4" s="5" t="s">
        <v>654</v>
      </c>
    </row>
    <row r="5" spans="1:7" ht="15" thickBot="1">
      <c r="A5" s="3"/>
      <c r="B5" s="3"/>
      <c r="C5" s="6"/>
      <c r="D5" s="6"/>
    </row>
    <row r="6" spans="1:7">
      <c r="A6" s="9" t="s">
        <v>68</v>
      </c>
      <c r="B6" s="10"/>
      <c r="C6" s="10"/>
      <c r="D6" s="10"/>
    </row>
    <row r="7" spans="1:7">
      <c r="A7" s="7" t="s">
        <v>15</v>
      </c>
      <c r="B7" s="10"/>
      <c r="C7" s="20">
        <f>'CF-21_1пг.22'!C16</f>
        <v>3559006.7097899998</v>
      </c>
      <c r="D7" s="56">
        <v>1258963</v>
      </c>
      <c r="F7" s="30"/>
      <c r="G7" s="30"/>
    </row>
    <row r="8" spans="1:7">
      <c r="A8" s="7" t="s">
        <v>69</v>
      </c>
      <c r="B8" s="10"/>
      <c r="C8" s="44"/>
      <c r="D8" s="57"/>
    </row>
    <row r="9" spans="1:7">
      <c r="A9" s="7" t="s">
        <v>11</v>
      </c>
      <c r="B9" s="8" t="s">
        <v>12</v>
      </c>
      <c r="C9" s="20">
        <f>'CF-21_1пг.22'!C18</f>
        <v>-16048.87076</v>
      </c>
      <c r="D9" s="56">
        <v>-3865</v>
      </c>
      <c r="F9" s="30"/>
      <c r="G9" s="30"/>
    </row>
    <row r="10" spans="1:7">
      <c r="A10" s="7" t="s">
        <v>13</v>
      </c>
      <c r="B10" s="8" t="s">
        <v>14</v>
      </c>
      <c r="C10" s="20">
        <f>'CF-21_1пг.22'!C19</f>
        <v>11647.331999999999</v>
      </c>
      <c r="D10" s="56">
        <v>5377</v>
      </c>
      <c r="F10" s="30"/>
      <c r="G10" s="30"/>
    </row>
    <row r="11" spans="1:7">
      <c r="A11" s="7" t="s">
        <v>70</v>
      </c>
      <c r="B11" s="8">
        <v>4.5999999999999996</v>
      </c>
      <c r="C11" s="20">
        <f>'CF-21_1пг.22'!C20</f>
        <v>332228.44430000003</v>
      </c>
      <c r="D11" s="56">
        <v>220033</v>
      </c>
    </row>
    <row r="12" spans="1:7">
      <c r="A12" s="7" t="s">
        <v>8</v>
      </c>
      <c r="B12" s="8">
        <v>8</v>
      </c>
      <c r="C12" s="20" t="s">
        <v>9</v>
      </c>
      <c r="D12" s="56" t="s">
        <v>9</v>
      </c>
    </row>
    <row r="13" spans="1:7">
      <c r="A13" s="7" t="s">
        <v>71</v>
      </c>
      <c r="B13" s="31">
        <v>7</v>
      </c>
      <c r="C13" s="56">
        <f>'CF-21_1пг.22'!C23</f>
        <v>9640.3940899999998</v>
      </c>
      <c r="D13" s="56">
        <v>19187</v>
      </c>
    </row>
    <row r="14" spans="1:7">
      <c r="A14" s="7" t="s">
        <v>102</v>
      </c>
      <c r="B14" s="10"/>
      <c r="C14" s="56"/>
      <c r="D14" s="56"/>
    </row>
    <row r="15" spans="1:7" ht="15" thickBot="1">
      <c r="A15" s="7" t="s">
        <v>264</v>
      </c>
      <c r="B15" s="10"/>
      <c r="C15" s="58">
        <f>'CF-21_1пг.22'!C24</f>
        <v>72427.887680000014</v>
      </c>
      <c r="D15" s="58">
        <v>459</v>
      </c>
    </row>
    <row r="16" spans="1:7">
      <c r="A16" s="281" t="s">
        <v>73</v>
      </c>
      <c r="B16" s="280"/>
      <c r="C16" s="59"/>
      <c r="D16" s="59"/>
    </row>
    <row r="17" spans="1:4" s="18" customFormat="1">
      <c r="A17" s="281"/>
      <c r="B17" s="280"/>
      <c r="C17" s="60">
        <f>SUM(C7:C15)</f>
        <v>3968901.8971000002</v>
      </c>
      <c r="D17" s="61">
        <f>SUM(D7:D15)</f>
        <v>1500154</v>
      </c>
    </row>
    <row r="18" spans="1:4">
      <c r="A18" s="7" t="s">
        <v>74</v>
      </c>
      <c r="B18" s="10"/>
      <c r="C18" s="20">
        <f>'CF-21_1пг.22'!C26</f>
        <v>-756829.57435999997</v>
      </c>
      <c r="D18" s="56">
        <v>-433911</v>
      </c>
    </row>
    <row r="19" spans="1:4">
      <c r="A19" s="7" t="s">
        <v>75</v>
      </c>
      <c r="B19" s="10"/>
      <c r="C19" s="20">
        <f>'CF-21_1пг.22'!C27</f>
        <v>-518389.98473999999</v>
      </c>
      <c r="D19" s="56">
        <v>-269264</v>
      </c>
    </row>
    <row r="20" spans="1:4">
      <c r="A20" s="7" t="s">
        <v>76</v>
      </c>
      <c r="B20" s="10"/>
      <c r="C20" s="20">
        <f>'CF-21_1пг.22'!C28</f>
        <v>-1390133.9912999999</v>
      </c>
      <c r="D20" s="56">
        <v>-325100</v>
      </c>
    </row>
    <row r="21" spans="1:4">
      <c r="A21" s="7" t="s">
        <v>77</v>
      </c>
      <c r="B21" s="10"/>
      <c r="C21" s="20">
        <f>'CF-21_1пг.22'!C30</f>
        <v>98373.425180000006</v>
      </c>
      <c r="D21" s="56">
        <v>450</v>
      </c>
    </row>
    <row r="22" spans="1:4" ht="15" thickBot="1">
      <c r="A22" s="7" t="s">
        <v>103</v>
      </c>
      <c r="B22" s="10"/>
      <c r="C22" s="21">
        <f>'CF-21_1пг.22'!C31</f>
        <v>212615</v>
      </c>
      <c r="D22" s="58">
        <v>-172550</v>
      </c>
    </row>
    <row r="23" spans="1:4">
      <c r="A23" s="282" t="s">
        <v>78</v>
      </c>
      <c r="B23" s="46"/>
      <c r="C23" s="62"/>
      <c r="D23" s="63"/>
    </row>
    <row r="24" spans="1:4">
      <c r="A24" s="282"/>
      <c r="B24" s="47">
        <v>23</v>
      </c>
      <c r="C24" s="60">
        <f>C17+C18+C19+C20+C21+C22</f>
        <v>1614536.7718800006</v>
      </c>
      <c r="D24" s="61">
        <f>D17+D18+D19+D20+D21+D22</f>
        <v>299779</v>
      </c>
    </row>
    <row r="25" spans="1:4">
      <c r="A25" s="7" t="s">
        <v>79</v>
      </c>
      <c r="B25" s="10"/>
      <c r="C25" s="56">
        <f>'CF-21_1пг.22'!C33</f>
        <v>16048.87076</v>
      </c>
      <c r="D25" s="56">
        <v>239</v>
      </c>
    </row>
    <row r="26" spans="1:4" ht="15" thickBot="1">
      <c r="A26" s="7" t="s">
        <v>80</v>
      </c>
      <c r="B26" s="10"/>
      <c r="C26" s="21">
        <f>'CF-21_1пг.22'!C34</f>
        <v>-1090503.3999999999</v>
      </c>
      <c r="D26" s="58">
        <v>-130000</v>
      </c>
    </row>
    <row r="27" spans="1:4">
      <c r="A27" s="283" t="s">
        <v>81</v>
      </c>
      <c r="B27" s="280"/>
      <c r="C27" s="59"/>
      <c r="D27" s="64"/>
    </row>
    <row r="28" spans="1:4" ht="15" thickBot="1">
      <c r="A28" s="283"/>
      <c r="B28" s="280"/>
      <c r="C28" s="65">
        <f>C24+C25+C26</f>
        <v>540082.24264000077</v>
      </c>
      <c r="D28" s="65">
        <f>D24+D25+D26</f>
        <v>170018</v>
      </c>
    </row>
    <row r="29" spans="1:4">
      <c r="A29" s="11"/>
      <c r="B29" s="280"/>
      <c r="C29" s="83"/>
      <c r="D29" s="286"/>
    </row>
    <row r="30" spans="1:4">
      <c r="A30" s="9" t="s">
        <v>82</v>
      </c>
      <c r="B30" s="280"/>
      <c r="C30" s="84"/>
      <c r="D30" s="287"/>
    </row>
    <row r="31" spans="1:4">
      <c r="A31" s="7" t="s">
        <v>83</v>
      </c>
      <c r="B31" s="8">
        <v>11</v>
      </c>
      <c r="C31" s="89">
        <f>'CF-21_1пг.22'!C38</f>
        <v>-751610.63195999991</v>
      </c>
      <c r="D31" s="56">
        <v>-271551</v>
      </c>
    </row>
    <row r="32" spans="1:4">
      <c r="A32" s="7" t="s">
        <v>84</v>
      </c>
      <c r="B32" s="8">
        <v>13</v>
      </c>
      <c r="C32" s="89">
        <f>'CF-21_1пг.22'!C40</f>
        <v>-14961.082380000002</v>
      </c>
      <c r="D32" s="56">
        <v>-26384</v>
      </c>
    </row>
    <row r="33" spans="1:5">
      <c r="A33" s="7" t="s">
        <v>85</v>
      </c>
      <c r="B33" s="8">
        <v>17</v>
      </c>
      <c r="C33" s="56">
        <f>'CF-21_1пг.22'!C44</f>
        <v>-4200.3126199999997</v>
      </c>
      <c r="D33" s="56">
        <v>-12126</v>
      </c>
    </row>
    <row r="34" spans="1:5" ht="15" thickBot="1">
      <c r="A34" s="7" t="s">
        <v>86</v>
      </c>
      <c r="B34" s="8">
        <v>19</v>
      </c>
      <c r="C34" s="58">
        <f>'CF-21_1пг.22'!C42</f>
        <v>-5110.3999999999996</v>
      </c>
      <c r="D34" s="58">
        <v>-770</v>
      </c>
    </row>
    <row r="35" spans="1:5" ht="24.6" thickBot="1">
      <c r="A35" s="9" t="s">
        <v>87</v>
      </c>
      <c r="B35" s="10"/>
      <c r="C35" s="66">
        <f>SUM(C31:C34)</f>
        <v>-775882.42695999995</v>
      </c>
      <c r="D35" s="66">
        <f>SUM(D31:D34)</f>
        <v>-310831</v>
      </c>
    </row>
    <row r="36" spans="1:5">
      <c r="A36" s="11"/>
      <c r="B36" s="280"/>
      <c r="C36" s="286"/>
      <c r="D36" s="286"/>
    </row>
    <row r="37" spans="1:5">
      <c r="A37" s="9" t="s">
        <v>88</v>
      </c>
      <c r="B37" s="280"/>
      <c r="C37" s="287"/>
      <c r="D37" s="287"/>
    </row>
    <row r="38" spans="1:5">
      <c r="A38" s="7" t="s">
        <v>89</v>
      </c>
      <c r="B38" s="8" t="s">
        <v>51</v>
      </c>
      <c r="C38" s="56" t="s">
        <v>9</v>
      </c>
      <c r="D38" s="56" t="s">
        <v>9</v>
      </c>
    </row>
    <row r="39" spans="1:5" ht="15" thickBot="1">
      <c r="A39" s="7" t="s">
        <v>90</v>
      </c>
      <c r="B39" s="8" t="s">
        <v>56</v>
      </c>
      <c r="C39" s="58">
        <f>'CF-21_1пг.22'!C54</f>
        <v>-7560</v>
      </c>
      <c r="D39" s="58">
        <v>-7480</v>
      </c>
    </row>
    <row r="40" spans="1:5" ht="15" thickBot="1">
      <c r="A40" s="9" t="s">
        <v>91</v>
      </c>
      <c r="B40" s="10"/>
      <c r="C40" s="66">
        <f>SUM(C38:C39)</f>
        <v>-7560</v>
      </c>
      <c r="D40" s="66">
        <f>SUM(D38:D39)</f>
        <v>-7480</v>
      </c>
    </row>
    <row r="41" spans="1:5">
      <c r="A41" s="11"/>
      <c r="B41" s="280"/>
      <c r="C41" s="67"/>
      <c r="D41" s="67"/>
    </row>
    <row r="42" spans="1:5">
      <c r="A42" s="7" t="s">
        <v>92</v>
      </c>
      <c r="B42" s="280"/>
      <c r="C42" s="56">
        <f>C45-C44-C43</f>
        <v>-243361.14563000019</v>
      </c>
      <c r="D42" s="56">
        <f>D28+D35+D40</f>
        <v>-148293</v>
      </c>
    </row>
    <row r="43" spans="1:5">
      <c r="A43" s="7" t="s">
        <v>93</v>
      </c>
      <c r="B43" s="10"/>
      <c r="C43" s="56">
        <f>-C15</f>
        <v>-72427.887680000014</v>
      </c>
      <c r="D43" s="56">
        <v>-459</v>
      </c>
    </row>
    <row r="44" spans="1:5" ht="15" thickBot="1">
      <c r="A44" s="7" t="s">
        <v>94</v>
      </c>
      <c r="B44" s="10"/>
      <c r="C44" s="58">
        <v>1310838.6000000001</v>
      </c>
      <c r="D44" s="58">
        <v>247136</v>
      </c>
      <c r="E44" s="26"/>
    </row>
    <row r="45" spans="1:5" ht="15" thickBot="1">
      <c r="A45" s="9" t="s">
        <v>95</v>
      </c>
      <c r="B45" s="8">
        <v>17</v>
      </c>
      <c r="C45" s="68">
        <f>ОФП!C20</f>
        <v>995049.56668999989</v>
      </c>
      <c r="D45" s="68">
        <f>SUM(D42:D44)</f>
        <v>98384</v>
      </c>
    </row>
    <row r="46" spans="1:5" ht="15" thickTop="1">
      <c r="A46" s="27"/>
      <c r="C46" s="30"/>
      <c r="D46" s="55"/>
    </row>
    <row r="47" spans="1:5">
      <c r="A47" s="28" t="s">
        <v>96</v>
      </c>
      <c r="C47" s="38"/>
      <c r="D47" s="55"/>
    </row>
    <row r="48" spans="1:5">
      <c r="A48" s="29"/>
    </row>
    <row r="49" spans="1:4">
      <c r="A49" s="16"/>
      <c r="B49" s="16"/>
      <c r="C49" s="16"/>
      <c r="D49" s="4"/>
    </row>
    <row r="50" spans="1:4">
      <c r="A50" s="2" t="s">
        <v>67</v>
      </c>
      <c r="B50" s="4" t="s">
        <v>1</v>
      </c>
      <c r="C50" s="5">
        <v>2022</v>
      </c>
      <c r="D50" s="5">
        <v>2021</v>
      </c>
    </row>
    <row r="51" spans="1:4" ht="15" thickBot="1">
      <c r="A51" s="3"/>
      <c r="B51" s="3"/>
      <c r="C51" s="6"/>
      <c r="D51" s="6"/>
    </row>
    <row r="52" spans="1:4">
      <c r="A52" s="7" t="s">
        <v>263</v>
      </c>
      <c r="B52" s="8">
        <v>19</v>
      </c>
      <c r="C52" s="20" t="s">
        <v>9</v>
      </c>
      <c r="D52" s="20">
        <v>448962</v>
      </c>
    </row>
    <row r="53" spans="1:4">
      <c r="A53" s="7" t="s">
        <v>98</v>
      </c>
      <c r="B53" s="8">
        <v>19</v>
      </c>
      <c r="C53" s="20" t="s">
        <v>9</v>
      </c>
      <c r="D53" s="20" t="s">
        <v>9</v>
      </c>
    </row>
    <row r="54" spans="1:4">
      <c r="A54" s="7" t="s">
        <v>99</v>
      </c>
      <c r="B54" s="8">
        <v>20</v>
      </c>
      <c r="C54" s="20" t="s">
        <v>9</v>
      </c>
      <c r="D54" s="20">
        <v>79915</v>
      </c>
    </row>
    <row r="55" spans="1:4" ht="15" thickBot="1">
      <c r="A55" s="7" t="s">
        <v>101</v>
      </c>
      <c r="B55" s="10"/>
      <c r="C55" s="238">
        <v>1567</v>
      </c>
      <c r="D55" s="21">
        <v>30</v>
      </c>
    </row>
    <row r="59" spans="1:4" hidden="1"/>
    <row r="60" spans="1:4" hidden="1">
      <c r="A60" s="179" t="s">
        <v>266</v>
      </c>
      <c r="B60" s="180"/>
      <c r="C60" s="180"/>
      <c r="D60" s="180"/>
    </row>
    <row r="61" spans="1:4" ht="15.6" hidden="1">
      <c r="A61" s="181" t="s">
        <v>589</v>
      </c>
      <c r="B61" s="180"/>
      <c r="C61" s="180"/>
      <c r="D61" s="180"/>
    </row>
    <row r="62" spans="1:4" hidden="1">
      <c r="A62" s="180"/>
      <c r="B62" s="180"/>
      <c r="C62" s="180"/>
      <c r="D62" s="180"/>
    </row>
    <row r="63" spans="1:4" ht="30.6" hidden="1">
      <c r="A63" s="182" t="s">
        <v>268</v>
      </c>
      <c r="B63" s="182" t="s">
        <v>269</v>
      </c>
      <c r="C63" s="180"/>
      <c r="D63" s="180"/>
    </row>
    <row r="64" spans="1:4" hidden="1">
      <c r="A64" s="180"/>
      <c r="B64" s="180"/>
      <c r="C64" s="180"/>
      <c r="D64" s="180"/>
    </row>
    <row r="65" spans="1:4" hidden="1">
      <c r="A65" s="180"/>
      <c r="B65" s="180"/>
      <c r="C65" s="180"/>
      <c r="D65" s="180"/>
    </row>
    <row r="66" spans="1:4" hidden="1">
      <c r="A66" s="183" t="s">
        <v>270</v>
      </c>
      <c r="B66" s="183" t="s">
        <v>271</v>
      </c>
      <c r="C66" s="180"/>
      <c r="D66" s="180"/>
    </row>
    <row r="67" spans="1:4" hidden="1">
      <c r="A67" s="180"/>
      <c r="B67" s="180"/>
      <c r="C67" s="180"/>
      <c r="D67" s="180"/>
    </row>
    <row r="68" spans="1:4" ht="26.4" hidden="1" customHeight="1">
      <c r="A68" s="184" t="s">
        <v>272</v>
      </c>
      <c r="B68" s="184" t="s">
        <v>479</v>
      </c>
      <c r="C68" s="184" t="s">
        <v>276</v>
      </c>
      <c r="D68" s="184" t="s">
        <v>277</v>
      </c>
    </row>
    <row r="69" spans="1:4" ht="20.399999999999999" hidden="1">
      <c r="A69" s="185" t="s">
        <v>279</v>
      </c>
      <c r="B69" s="185" t="s">
        <v>480</v>
      </c>
      <c r="C69" s="186">
        <v>1389086579.05</v>
      </c>
      <c r="D69" s="187"/>
    </row>
    <row r="70" spans="1:4" hidden="1">
      <c r="A70" s="188"/>
      <c r="B70" s="189" t="s">
        <v>481</v>
      </c>
      <c r="C70" s="190">
        <v>39795738181.750008</v>
      </c>
      <c r="D70" s="190">
        <v>35577518311.849998</v>
      </c>
    </row>
    <row r="71" spans="1:4" hidden="1">
      <c r="A71" s="188"/>
      <c r="B71" s="191" t="s">
        <v>482</v>
      </c>
      <c r="C71" s="190">
        <v>34570921643.980003</v>
      </c>
      <c r="D71" s="190">
        <v>34570921643.980003</v>
      </c>
    </row>
    <row r="72" spans="1:4" hidden="1">
      <c r="A72" s="188"/>
      <c r="B72" s="192" t="s">
        <v>483</v>
      </c>
      <c r="C72" s="190">
        <v>17231429428.959999</v>
      </c>
      <c r="D72" s="190">
        <v>17338892215.02</v>
      </c>
    </row>
    <row r="73" spans="1:4" ht="20.399999999999999" hidden="1" customHeight="1">
      <c r="A73" s="188"/>
      <c r="B73" s="193" t="s">
        <v>590</v>
      </c>
      <c r="C73" s="190">
        <v>12441267354.359999</v>
      </c>
      <c r="D73" s="190">
        <v>12441267354.359999</v>
      </c>
    </row>
    <row r="74" spans="1:4" ht="20.399999999999999" hidden="1" customHeight="1">
      <c r="A74" s="188"/>
      <c r="B74" s="193" t="s">
        <v>484</v>
      </c>
      <c r="C74" s="190">
        <v>4790162074.5999994</v>
      </c>
      <c r="D74" s="190">
        <v>4897624860.6599998</v>
      </c>
    </row>
    <row r="75" spans="1:4" hidden="1">
      <c r="A75" s="188"/>
      <c r="B75" s="192" t="s">
        <v>591</v>
      </c>
      <c r="C75" s="190">
        <v>10997634724.24</v>
      </c>
      <c r="D75" s="190">
        <v>11131431038.660002</v>
      </c>
    </row>
    <row r="76" spans="1:4" hidden="1">
      <c r="A76" s="188"/>
      <c r="B76" s="192" t="s">
        <v>592</v>
      </c>
      <c r="C76" s="190">
        <v>6341857490.7800007</v>
      </c>
      <c r="D76" s="190">
        <v>6100598390.3000002</v>
      </c>
    </row>
    <row r="77" spans="1:4" hidden="1">
      <c r="A77" s="188"/>
      <c r="B77" s="191" t="s">
        <v>485</v>
      </c>
      <c r="C77" s="190">
        <v>4880151239.04</v>
      </c>
      <c r="D77" s="190">
        <v>5080912</v>
      </c>
    </row>
    <row r="78" spans="1:4" hidden="1">
      <c r="A78" s="188"/>
      <c r="B78" s="192" t="s">
        <v>486</v>
      </c>
      <c r="C78" s="190">
        <v>4869792814.4699993</v>
      </c>
      <c r="D78" s="194"/>
    </row>
    <row r="79" spans="1:4" hidden="1">
      <c r="A79" s="188"/>
      <c r="B79" s="192" t="s">
        <v>498</v>
      </c>
      <c r="C79" s="190">
        <v>86756</v>
      </c>
      <c r="D79" s="190">
        <v>5080912</v>
      </c>
    </row>
    <row r="80" spans="1:4" ht="20.399999999999999" hidden="1" customHeight="1">
      <c r="A80" s="188"/>
      <c r="B80" s="193" t="s">
        <v>593</v>
      </c>
      <c r="C80" s="190">
        <v>86756</v>
      </c>
      <c r="D80" s="190">
        <v>5080912</v>
      </c>
    </row>
    <row r="81" spans="1:4" hidden="1">
      <c r="A81" s="188"/>
      <c r="B81" s="192" t="s">
        <v>487</v>
      </c>
      <c r="C81" s="190">
        <v>10271668.57</v>
      </c>
      <c r="D81" s="194"/>
    </row>
    <row r="82" spans="1:4" ht="20.399999999999999" hidden="1" customHeight="1">
      <c r="A82" s="188"/>
      <c r="B82" s="193" t="s">
        <v>488</v>
      </c>
      <c r="C82" s="190">
        <v>10271668.57</v>
      </c>
      <c r="D82" s="194"/>
    </row>
    <row r="83" spans="1:4" hidden="1">
      <c r="A83" s="188"/>
      <c r="B83" s="191" t="s">
        <v>594</v>
      </c>
      <c r="C83" s="190">
        <v>342738498</v>
      </c>
      <c r="D83" s="190">
        <v>34309082</v>
      </c>
    </row>
    <row r="84" spans="1:4" hidden="1">
      <c r="A84" s="188"/>
      <c r="B84" s="192" t="s">
        <v>595</v>
      </c>
      <c r="C84" s="190">
        <v>342738498</v>
      </c>
      <c r="D84" s="190">
        <v>34309082</v>
      </c>
    </row>
    <row r="85" spans="1:4" ht="20.399999999999999" hidden="1" customHeight="1">
      <c r="A85" s="188"/>
      <c r="B85" s="193" t="s">
        <v>596</v>
      </c>
      <c r="C85" s="190">
        <v>342738498</v>
      </c>
      <c r="D85" s="190">
        <v>34309082</v>
      </c>
    </row>
    <row r="86" spans="1:4" hidden="1">
      <c r="A86" s="188"/>
      <c r="B86" s="191" t="s">
        <v>597</v>
      </c>
      <c r="C86" s="190">
        <v>1926800.73</v>
      </c>
      <c r="D86" s="190">
        <v>967206673.87</v>
      </c>
    </row>
    <row r="87" spans="1:4" hidden="1">
      <c r="A87" s="188"/>
      <c r="B87" s="192" t="s">
        <v>598</v>
      </c>
      <c r="C87" s="190">
        <v>1926800.73</v>
      </c>
      <c r="D87" s="190">
        <v>967206673.87</v>
      </c>
    </row>
    <row r="88" spans="1:4" hidden="1">
      <c r="A88" s="188"/>
      <c r="B88" s="189" t="s">
        <v>509</v>
      </c>
      <c r="C88" s="190">
        <v>904503390.05999994</v>
      </c>
      <c r="D88" s="190">
        <v>5258621620.5799999</v>
      </c>
    </row>
    <row r="89" spans="1:4" hidden="1">
      <c r="A89" s="188"/>
      <c r="B89" s="191" t="s">
        <v>599</v>
      </c>
      <c r="C89" s="194"/>
      <c r="D89" s="190">
        <v>1517551883.5</v>
      </c>
    </row>
    <row r="90" spans="1:4" hidden="1">
      <c r="A90" s="188"/>
      <c r="B90" s="192" t="s">
        <v>600</v>
      </c>
      <c r="C90" s="194"/>
      <c r="D90" s="190">
        <v>1091737020.5</v>
      </c>
    </row>
    <row r="91" spans="1:4" hidden="1">
      <c r="A91" s="188"/>
      <c r="B91" s="193" t="s">
        <v>601</v>
      </c>
      <c r="C91" s="194"/>
      <c r="D91" s="190">
        <v>1090125000</v>
      </c>
    </row>
    <row r="92" spans="1:4" hidden="1">
      <c r="A92" s="188"/>
      <c r="B92" s="193" t="s">
        <v>602</v>
      </c>
      <c r="C92" s="194"/>
      <c r="D92" s="190">
        <v>1612020.5</v>
      </c>
    </row>
    <row r="93" spans="1:4" hidden="1">
      <c r="A93" s="188"/>
      <c r="B93" s="192" t="s">
        <v>603</v>
      </c>
      <c r="C93" s="194"/>
      <c r="D93" s="190">
        <v>35166490</v>
      </c>
    </row>
    <row r="94" spans="1:4" hidden="1">
      <c r="A94" s="188"/>
      <c r="B94" s="192" t="s">
        <v>604</v>
      </c>
      <c r="C94" s="194"/>
      <c r="D94" s="190">
        <v>81715554</v>
      </c>
    </row>
    <row r="95" spans="1:4" hidden="1">
      <c r="A95" s="188"/>
      <c r="B95" s="193" t="s">
        <v>605</v>
      </c>
      <c r="C95" s="194"/>
      <c r="D95" s="190">
        <v>81715554</v>
      </c>
    </row>
    <row r="96" spans="1:4" ht="20.399999999999999" hidden="1">
      <c r="A96" s="188"/>
      <c r="B96" s="195" t="s">
        <v>606</v>
      </c>
      <c r="C96" s="194"/>
      <c r="D96" s="190">
        <v>474304</v>
      </c>
    </row>
    <row r="97" spans="1:4" ht="20.399999999999999" hidden="1">
      <c r="A97" s="188"/>
      <c r="B97" s="195" t="s">
        <v>607</v>
      </c>
      <c r="C97" s="194"/>
      <c r="D97" s="190">
        <v>77757086</v>
      </c>
    </row>
    <row r="98" spans="1:4" ht="20.399999999999999" hidden="1">
      <c r="A98" s="188"/>
      <c r="B98" s="195" t="s">
        <v>608</v>
      </c>
      <c r="C98" s="194"/>
      <c r="D98" s="190">
        <v>3484164</v>
      </c>
    </row>
    <row r="99" spans="1:4" hidden="1">
      <c r="A99" s="188"/>
      <c r="B99" s="192" t="s">
        <v>609</v>
      </c>
      <c r="C99" s="194"/>
      <c r="D99" s="190">
        <v>27112010</v>
      </c>
    </row>
    <row r="100" spans="1:4" hidden="1">
      <c r="A100" s="188"/>
      <c r="B100" s="192" t="s">
        <v>610</v>
      </c>
      <c r="C100" s="194"/>
      <c r="D100" s="190">
        <v>5312</v>
      </c>
    </row>
    <row r="101" spans="1:4" hidden="1">
      <c r="A101" s="188"/>
      <c r="B101" s="192" t="s">
        <v>611</v>
      </c>
      <c r="C101" s="194"/>
      <c r="D101" s="190">
        <v>3646</v>
      </c>
    </row>
    <row r="102" spans="1:4" hidden="1">
      <c r="A102" s="188"/>
      <c r="B102" s="192" t="s">
        <v>612</v>
      </c>
      <c r="C102" s="194"/>
      <c r="D102" s="190">
        <v>1659190</v>
      </c>
    </row>
    <row r="103" spans="1:4" hidden="1">
      <c r="A103" s="188"/>
      <c r="B103" s="192" t="s">
        <v>613</v>
      </c>
      <c r="C103" s="194"/>
      <c r="D103" s="190">
        <v>280152661</v>
      </c>
    </row>
    <row r="104" spans="1:4" hidden="1">
      <c r="A104" s="188"/>
      <c r="B104" s="191" t="s">
        <v>614</v>
      </c>
      <c r="C104" s="190">
        <v>290084</v>
      </c>
      <c r="D104" s="190">
        <v>86143816</v>
      </c>
    </row>
    <row r="105" spans="1:4" hidden="1">
      <c r="A105" s="188"/>
      <c r="B105" s="192" t="s">
        <v>615</v>
      </c>
      <c r="C105" s="190">
        <v>95020</v>
      </c>
      <c r="D105" s="190">
        <v>31734049</v>
      </c>
    </row>
    <row r="106" spans="1:4" hidden="1">
      <c r="A106" s="188"/>
      <c r="B106" s="193" t="s">
        <v>616</v>
      </c>
      <c r="C106" s="190">
        <v>38881</v>
      </c>
      <c r="D106" s="190">
        <v>12155233</v>
      </c>
    </row>
    <row r="107" spans="1:4" hidden="1">
      <c r="A107" s="188"/>
      <c r="B107" s="193" t="s">
        <v>617</v>
      </c>
      <c r="C107" s="190">
        <v>26576</v>
      </c>
      <c r="D107" s="190">
        <v>8116153</v>
      </c>
    </row>
    <row r="108" spans="1:4" hidden="1">
      <c r="A108" s="188"/>
      <c r="B108" s="193" t="s">
        <v>618</v>
      </c>
      <c r="C108" s="190">
        <v>29563</v>
      </c>
      <c r="D108" s="190">
        <v>11462663</v>
      </c>
    </row>
    <row r="109" spans="1:4" hidden="1">
      <c r="A109" s="188"/>
      <c r="B109" s="192" t="s">
        <v>619</v>
      </c>
      <c r="C109" s="190">
        <v>195064</v>
      </c>
      <c r="D109" s="190">
        <v>54051932</v>
      </c>
    </row>
    <row r="110" spans="1:4" hidden="1">
      <c r="A110" s="188"/>
      <c r="B110" s="193" t="s">
        <v>620</v>
      </c>
      <c r="C110" s="190">
        <v>139896</v>
      </c>
      <c r="D110" s="190">
        <v>46300907</v>
      </c>
    </row>
    <row r="111" spans="1:4" hidden="1">
      <c r="A111" s="188"/>
      <c r="B111" s="193" t="s">
        <v>621</v>
      </c>
      <c r="C111" s="190">
        <v>55168</v>
      </c>
      <c r="D111" s="190">
        <v>7751025</v>
      </c>
    </row>
    <row r="112" spans="1:4" hidden="1">
      <c r="A112" s="188"/>
      <c r="B112" s="192" t="s">
        <v>622</v>
      </c>
      <c r="C112" s="194"/>
      <c r="D112" s="190">
        <v>357835</v>
      </c>
    </row>
    <row r="113" spans="1:7" hidden="1">
      <c r="A113" s="188"/>
      <c r="B113" s="191" t="s">
        <v>510</v>
      </c>
      <c r="C113" s="190">
        <v>29549752.16</v>
      </c>
      <c r="D113" s="190">
        <v>3630061014.4000001</v>
      </c>
    </row>
    <row r="114" spans="1:7" hidden="1">
      <c r="A114" s="188"/>
      <c r="B114" s="192" t="s">
        <v>511</v>
      </c>
      <c r="C114" s="190">
        <v>26837192.399999999</v>
      </c>
      <c r="D114" s="190">
        <v>3254312279.3699999</v>
      </c>
    </row>
    <row r="115" spans="1:7" hidden="1">
      <c r="A115" s="188"/>
      <c r="B115" s="192" t="s">
        <v>623</v>
      </c>
      <c r="C115" s="190">
        <v>2582369.7599999998</v>
      </c>
      <c r="D115" s="190">
        <v>367115752.76999998</v>
      </c>
    </row>
    <row r="116" spans="1:7" hidden="1">
      <c r="A116" s="188"/>
      <c r="B116" s="192" t="s">
        <v>512</v>
      </c>
      <c r="C116" s="190">
        <v>130190</v>
      </c>
      <c r="D116" s="190">
        <v>8632982.2599999998</v>
      </c>
    </row>
    <row r="117" spans="1:7" hidden="1">
      <c r="A117" s="188"/>
      <c r="B117" s="193" t="s">
        <v>624</v>
      </c>
      <c r="C117" s="194"/>
      <c r="D117" s="190">
        <v>4806209.26</v>
      </c>
    </row>
    <row r="118" spans="1:7" hidden="1">
      <c r="A118" s="188"/>
      <c r="B118" s="193" t="s">
        <v>513</v>
      </c>
      <c r="C118" s="190">
        <v>130190</v>
      </c>
      <c r="D118" s="190">
        <v>3826773</v>
      </c>
    </row>
    <row r="119" spans="1:7" ht="20.399999999999999" hidden="1">
      <c r="A119" s="188"/>
      <c r="B119" s="195" t="s">
        <v>514</v>
      </c>
      <c r="C119" s="190">
        <v>130190</v>
      </c>
      <c r="D119" s="190">
        <v>3826773</v>
      </c>
    </row>
    <row r="120" spans="1:7" hidden="1">
      <c r="A120" s="188"/>
      <c r="B120" s="191" t="s">
        <v>625</v>
      </c>
      <c r="C120" s="190">
        <v>874663553.89999998</v>
      </c>
      <c r="D120" s="190">
        <v>24864906.68</v>
      </c>
    </row>
    <row r="121" spans="1:7" hidden="1">
      <c r="A121" s="188"/>
      <c r="B121" s="192" t="s">
        <v>626</v>
      </c>
      <c r="C121" s="190">
        <v>874663553.89999998</v>
      </c>
      <c r="D121" s="190">
        <v>24864906.68</v>
      </c>
    </row>
    <row r="122" spans="1:7" hidden="1">
      <c r="A122" s="188"/>
      <c r="B122" s="189" t="s">
        <v>627</v>
      </c>
      <c r="C122" s="190">
        <v>475874381.24000001</v>
      </c>
      <c r="D122" s="194"/>
    </row>
    <row r="123" spans="1:7" hidden="1">
      <c r="A123" s="188"/>
      <c r="B123" s="191" t="s">
        <v>628</v>
      </c>
      <c r="C123" s="190">
        <v>475874381.24000001</v>
      </c>
      <c r="D123" s="194"/>
    </row>
    <row r="124" spans="1:7" hidden="1">
      <c r="A124" s="188"/>
      <c r="B124" s="192" t="s">
        <v>629</v>
      </c>
      <c r="C124" s="190">
        <v>433931634.24000001</v>
      </c>
      <c r="D124" s="194"/>
      <c r="F124" s="32"/>
    </row>
    <row r="125" spans="1:7" hidden="1">
      <c r="A125" s="188"/>
      <c r="B125" s="192" t="s">
        <v>630</v>
      </c>
      <c r="C125" s="190">
        <v>41942747</v>
      </c>
      <c r="D125" s="194"/>
    </row>
    <row r="126" spans="1:7" hidden="1">
      <c r="A126" s="188"/>
      <c r="B126" s="189" t="s">
        <v>631</v>
      </c>
      <c r="C126" s="194"/>
      <c r="D126" s="190">
        <v>655765054.98000002</v>
      </c>
    </row>
    <row r="127" spans="1:7" hidden="1">
      <c r="A127" s="188"/>
      <c r="B127" s="191" t="s">
        <v>632</v>
      </c>
      <c r="C127" s="194"/>
      <c r="D127" s="190">
        <v>655765054.98000002</v>
      </c>
    </row>
    <row r="128" spans="1:7" hidden="1">
      <c r="A128" s="188"/>
      <c r="B128" s="192" t="s">
        <v>633</v>
      </c>
      <c r="C128" s="194"/>
      <c r="D128" s="190">
        <v>506359521.92000002</v>
      </c>
      <c r="F128" s="32">
        <f>(D128-C124)/1000</f>
        <v>72427.887680000014</v>
      </c>
      <c r="G128" t="s">
        <v>635</v>
      </c>
    </row>
    <row r="129" spans="1:4" hidden="1">
      <c r="A129" s="188"/>
      <c r="B129" s="192" t="s">
        <v>634</v>
      </c>
      <c r="C129" s="194"/>
      <c r="D129" s="190">
        <v>149405533.06</v>
      </c>
    </row>
    <row r="130" spans="1:4" hidden="1">
      <c r="A130" s="196"/>
      <c r="B130" s="197" t="s">
        <v>492</v>
      </c>
      <c r="C130" s="198">
        <v>41176115953.050003</v>
      </c>
      <c r="D130" s="198">
        <v>41491904987.409996</v>
      </c>
    </row>
    <row r="131" spans="1:4" ht="20.399999999999999" hidden="1">
      <c r="A131" s="196"/>
      <c r="B131" s="197" t="s">
        <v>493</v>
      </c>
      <c r="C131" s="198">
        <v>1073297544.6900001</v>
      </c>
      <c r="D131" s="199"/>
    </row>
    <row r="132" spans="1:4" hidden="1"/>
    <row r="133" spans="1:4" hidden="1"/>
  </sheetData>
  <mergeCells count="13">
    <mergeCell ref="A1:D1"/>
    <mergeCell ref="A2:D2"/>
    <mergeCell ref="A16:A17"/>
    <mergeCell ref="B16:B17"/>
    <mergeCell ref="A23:A24"/>
    <mergeCell ref="B36:B37"/>
    <mergeCell ref="C36:C37"/>
    <mergeCell ref="D36:D37"/>
    <mergeCell ref="B41:B42"/>
    <mergeCell ref="A27:A28"/>
    <mergeCell ref="B27:B28"/>
    <mergeCell ref="B29:B30"/>
    <mergeCell ref="D29:D30"/>
  </mergeCells>
  <pageMargins left="0.70866141732283472" right="0.31496062992125984" top="0.74803149606299213" bottom="0.55118110236220474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24DF-F17A-4958-AD92-0813B78D813D}">
  <dimension ref="A1:J99"/>
  <sheetViews>
    <sheetView topLeftCell="A64" zoomScaleNormal="100" workbookViewId="0">
      <selection activeCell="C86" sqref="C86"/>
    </sheetView>
  </sheetViews>
  <sheetFormatPr defaultColWidth="9.109375" defaultRowHeight="14.4"/>
  <cols>
    <col min="1" max="1" width="54.33203125" style="72" customWidth="1"/>
    <col min="2" max="2" width="9.109375" style="72"/>
    <col min="3" max="3" width="15.5546875" style="72" customWidth="1"/>
    <col min="4" max="4" width="18.5546875" style="72" customWidth="1"/>
    <col min="5" max="7" width="0" style="72" hidden="1" customWidth="1"/>
    <col min="8" max="9" width="12.6640625" style="73" hidden="1" customWidth="1"/>
    <col min="10" max="28" width="0" style="72" hidden="1" customWidth="1"/>
    <col min="29" max="16384" width="9.109375" style="72"/>
  </cols>
  <sheetData>
    <row r="1" spans="1:9" s="70" customFormat="1" ht="9.6">
      <c r="A1" s="289" t="s">
        <v>127</v>
      </c>
      <c r="B1" s="289"/>
      <c r="C1" s="289"/>
      <c r="D1" s="289"/>
      <c r="H1" s="71"/>
      <c r="I1" s="71"/>
    </row>
    <row r="2" spans="1:9" s="70" customFormat="1" ht="9.6">
      <c r="A2" s="289" t="s">
        <v>128</v>
      </c>
      <c r="B2" s="289"/>
      <c r="C2" s="289"/>
      <c r="D2" s="289"/>
      <c r="H2" s="71"/>
      <c r="I2" s="71"/>
    </row>
    <row r="3" spans="1:9" s="70" customFormat="1" ht="9.6">
      <c r="A3" s="289" t="s">
        <v>129</v>
      </c>
      <c r="B3" s="289"/>
      <c r="C3" s="289"/>
      <c r="D3" s="289"/>
      <c r="H3" s="71"/>
      <c r="I3" s="71"/>
    </row>
    <row r="4" spans="1:9" s="70" customFormat="1" ht="9.6">
      <c r="A4" s="289" t="s">
        <v>130</v>
      </c>
      <c r="B4" s="289"/>
      <c r="C4" s="289"/>
      <c r="D4" s="289"/>
      <c r="H4" s="71"/>
      <c r="I4" s="71"/>
    </row>
    <row r="5" spans="1:9" ht="15.6">
      <c r="A5" s="290"/>
      <c r="B5" s="290"/>
      <c r="C5" s="290"/>
      <c r="D5" s="290"/>
    </row>
    <row r="6" spans="1:9">
      <c r="A6" s="291" t="s">
        <v>131</v>
      </c>
      <c r="B6" s="291"/>
      <c r="C6" s="291"/>
      <c r="D6" s="291"/>
    </row>
    <row r="7" spans="1:9" ht="15.6">
      <c r="A7" s="290"/>
      <c r="B7" s="290"/>
      <c r="C7" s="290"/>
      <c r="D7" s="290"/>
    </row>
    <row r="8" spans="1:9" s="74" customFormat="1" ht="13.8">
      <c r="A8" s="292" t="s">
        <v>132</v>
      </c>
      <c r="B8" s="292"/>
      <c r="C8" s="292"/>
      <c r="D8" s="292"/>
      <c r="H8" s="75"/>
      <c r="I8" s="75"/>
    </row>
    <row r="9" spans="1:9" s="74" customFormat="1" ht="13.8">
      <c r="A9" s="293" t="s">
        <v>257</v>
      </c>
      <c r="B9" s="293"/>
      <c r="C9" s="293"/>
      <c r="D9" s="293"/>
      <c r="H9" s="75"/>
      <c r="I9" s="75"/>
    </row>
    <row r="10" spans="1:9" s="76" customFormat="1" ht="11.4">
      <c r="A10" s="294"/>
      <c r="B10" s="294"/>
      <c r="C10" s="294"/>
      <c r="D10" s="294"/>
      <c r="H10" s="77"/>
      <c r="I10" s="77"/>
    </row>
    <row r="11" spans="1:9" s="76" customFormat="1" ht="11.4">
      <c r="A11" s="288" t="s">
        <v>133</v>
      </c>
      <c r="B11" s="288"/>
      <c r="C11" s="288"/>
      <c r="D11" s="288"/>
      <c r="H11" s="77"/>
      <c r="I11" s="77"/>
    </row>
    <row r="12" spans="1:9" s="76" customFormat="1" ht="11.4">
      <c r="A12" s="288" t="s">
        <v>134</v>
      </c>
      <c r="B12" s="288"/>
      <c r="C12" s="288"/>
      <c r="D12" s="288"/>
      <c r="H12" s="77"/>
      <c r="I12" s="77"/>
    </row>
    <row r="13" spans="1:9" s="76" customFormat="1" ht="16.5" customHeight="1">
      <c r="A13" s="288" t="s">
        <v>135</v>
      </c>
      <c r="B13" s="288"/>
      <c r="C13" s="288"/>
      <c r="D13" s="288"/>
      <c r="H13" s="77"/>
      <c r="I13" s="77"/>
    </row>
    <row r="14" spans="1:9" s="76" customFormat="1" ht="30.75" customHeight="1">
      <c r="A14" s="288" t="s">
        <v>136</v>
      </c>
      <c r="B14" s="288"/>
      <c r="C14" s="288"/>
      <c r="D14" s="288"/>
      <c r="H14" s="77"/>
      <c r="I14" s="77"/>
    </row>
    <row r="15" spans="1:9" s="76" customFormat="1" ht="15.75" customHeight="1">
      <c r="A15" s="288" t="s">
        <v>137</v>
      </c>
      <c r="B15" s="288"/>
      <c r="C15" s="288"/>
      <c r="D15" s="288"/>
      <c r="H15" s="77"/>
      <c r="I15" s="77"/>
    </row>
    <row r="16" spans="1:9" s="76" customFormat="1" ht="48" customHeight="1">
      <c r="A16" s="288" t="s">
        <v>138</v>
      </c>
      <c r="B16" s="288"/>
      <c r="C16" s="288"/>
      <c r="D16" s="288"/>
      <c r="H16" s="77">
        <v>247136161.63999999</v>
      </c>
      <c r="I16" s="77"/>
    </row>
    <row r="17" spans="1:10" s="76" customFormat="1" ht="11.4" customHeight="1">
      <c r="A17" s="288" t="s">
        <v>260</v>
      </c>
      <c r="B17" s="288"/>
      <c r="C17" s="288"/>
      <c r="D17" s="288"/>
      <c r="H17" s="77"/>
      <c r="I17" s="77"/>
    </row>
    <row r="18" spans="1:10" s="76" customFormat="1" ht="11.4">
      <c r="A18" s="288" t="s">
        <v>256</v>
      </c>
      <c r="B18" s="288"/>
      <c r="C18" s="288"/>
      <c r="D18" s="288"/>
      <c r="H18" s="77">
        <v>1310838601.05</v>
      </c>
      <c r="I18" s="77"/>
    </row>
    <row r="19" spans="1:10" s="76" customFormat="1" ht="11.4">
      <c r="A19" s="296" t="s">
        <v>139</v>
      </c>
      <c r="B19" s="296"/>
      <c r="C19" s="296"/>
      <c r="D19" s="296"/>
      <c r="H19" s="77"/>
      <c r="I19" s="77"/>
    </row>
    <row r="20" spans="1:10" s="76" customFormat="1" ht="22.8">
      <c r="A20" s="78" t="s">
        <v>140</v>
      </c>
      <c r="B20" s="78" t="s">
        <v>141</v>
      </c>
      <c r="C20" s="78" t="s">
        <v>142</v>
      </c>
      <c r="D20" s="78" t="s">
        <v>143</v>
      </c>
      <c r="H20" s="77"/>
      <c r="I20" s="77"/>
    </row>
    <row r="21" spans="1:10" s="76" customFormat="1" ht="11.4">
      <c r="A21" s="297" t="s">
        <v>144</v>
      </c>
      <c r="B21" s="298"/>
      <c r="C21" s="298"/>
      <c r="D21" s="299"/>
      <c r="H21" s="77"/>
      <c r="I21" s="77"/>
    </row>
    <row r="22" spans="1:10" s="76" customFormat="1" ht="12">
      <c r="A22" s="86" t="s">
        <v>145</v>
      </c>
      <c r="B22" s="79" t="s">
        <v>146</v>
      </c>
      <c r="C22" s="87">
        <f>SUM(C24:C29)</f>
        <v>2744095.4877300006</v>
      </c>
      <c r="D22" s="87">
        <f>SUM(D24:D29)</f>
        <v>1249735</v>
      </c>
      <c r="H22" s="77"/>
      <c r="I22" s="77"/>
    </row>
    <row r="23" spans="1:10" s="76" customFormat="1" ht="11.4">
      <c r="A23" s="86" t="s">
        <v>147</v>
      </c>
      <c r="B23" s="81"/>
      <c r="C23" s="80"/>
      <c r="D23" s="80"/>
      <c r="H23" s="77"/>
      <c r="I23" s="77"/>
    </row>
    <row r="24" spans="1:10" s="76" customFormat="1" ht="11.4">
      <c r="A24" s="86" t="s">
        <v>148</v>
      </c>
      <c r="B24" s="79" t="s">
        <v>149</v>
      </c>
      <c r="C24" s="80">
        <f>H29/1000</f>
        <v>2036183.0490300001</v>
      </c>
      <c r="D24" s="80">
        <v>1236659</v>
      </c>
      <c r="H24" s="77"/>
      <c r="I24" s="77"/>
    </row>
    <row r="25" spans="1:10" s="76" customFormat="1" ht="11.4">
      <c r="A25" s="86" t="s">
        <v>150</v>
      </c>
      <c r="B25" s="79" t="s">
        <v>151</v>
      </c>
      <c r="C25" s="80"/>
      <c r="D25" s="80"/>
      <c r="H25" s="77"/>
      <c r="I25" s="77"/>
    </row>
    <row r="26" spans="1:10" s="76" customFormat="1" ht="11.4">
      <c r="A26" s="86" t="s">
        <v>152</v>
      </c>
      <c r="B26" s="79" t="s">
        <v>153</v>
      </c>
      <c r="C26" s="80">
        <f>H64/1000</f>
        <v>417440.47523000004</v>
      </c>
      <c r="D26" s="80">
        <v>34</v>
      </c>
      <c r="H26" s="77"/>
      <c r="I26" s="77"/>
    </row>
    <row r="27" spans="1:10" s="76" customFormat="1" ht="11.4">
      <c r="A27" s="86" t="s">
        <v>154</v>
      </c>
      <c r="B27" s="79" t="s">
        <v>155</v>
      </c>
      <c r="C27" s="80"/>
      <c r="D27" s="80"/>
      <c r="H27" s="77"/>
      <c r="I27" s="77">
        <v>0</v>
      </c>
      <c r="J27" s="76">
        <v>67</v>
      </c>
    </row>
    <row r="28" spans="1:10" s="76" customFormat="1" ht="11.4">
      <c r="A28" s="86" t="s">
        <v>156</v>
      </c>
      <c r="B28" s="79" t="s">
        <v>157</v>
      </c>
      <c r="C28" s="80">
        <f>H32/1000</f>
        <v>6363.5267400000002</v>
      </c>
      <c r="D28" s="80">
        <v>128</v>
      </c>
      <c r="H28" s="77"/>
      <c r="I28" s="77"/>
    </row>
    <row r="29" spans="1:10" s="76" customFormat="1" ht="11.4">
      <c r="A29" s="86" t="s">
        <v>158</v>
      </c>
      <c r="B29" s="79" t="s">
        <v>159</v>
      </c>
      <c r="C29" s="80">
        <f>H65/1000</f>
        <v>284108.43673000002</v>
      </c>
      <c r="D29" s="80">
        <v>12914</v>
      </c>
      <c r="H29" s="77">
        <v>2036183049.0300002</v>
      </c>
      <c r="I29" s="77"/>
      <c r="J29" s="76">
        <v>11</v>
      </c>
    </row>
    <row r="30" spans="1:10" s="76" customFormat="1" ht="12">
      <c r="A30" s="86" t="s">
        <v>160</v>
      </c>
      <c r="B30" s="79" t="s">
        <v>161</v>
      </c>
      <c r="C30" s="87">
        <f>SUM(C32:C38)</f>
        <v>2874600.7107311999</v>
      </c>
      <c r="D30" s="87">
        <f>SUM(D32:D38)</f>
        <v>1158168</v>
      </c>
      <c r="H30" s="77"/>
      <c r="I30" s="77">
        <v>1695631</v>
      </c>
      <c r="J30" s="76">
        <v>27</v>
      </c>
    </row>
    <row r="31" spans="1:10" s="76" customFormat="1" ht="11.4">
      <c r="A31" s="86" t="s">
        <v>147</v>
      </c>
      <c r="B31" s="81"/>
      <c r="C31" s="80"/>
      <c r="D31" s="80"/>
      <c r="H31" s="77"/>
      <c r="I31" s="77"/>
    </row>
    <row r="32" spans="1:10" s="76" customFormat="1" ht="11.4">
      <c r="A32" s="86" t="s">
        <v>162</v>
      </c>
      <c r="B32" s="79" t="s">
        <v>163</v>
      </c>
      <c r="C32" s="80">
        <f>I61/1000</f>
        <v>1397365.1596263999</v>
      </c>
      <c r="D32" s="80">
        <v>775634</v>
      </c>
      <c r="H32" s="77">
        <v>6363526.7400000002</v>
      </c>
      <c r="I32" s="77"/>
      <c r="J32" s="76">
        <v>15</v>
      </c>
    </row>
    <row r="33" spans="1:10" s="76" customFormat="1" ht="11.4">
      <c r="A33" s="86" t="s">
        <v>164</v>
      </c>
      <c r="B33" s="79" t="s">
        <v>165</v>
      </c>
      <c r="C33" s="80">
        <f>I34/1000</f>
        <v>264753.78062479995</v>
      </c>
      <c r="D33" s="80">
        <v>10404</v>
      </c>
      <c r="H33" s="77"/>
      <c r="I33" s="77"/>
    </row>
    <row r="34" spans="1:10" s="76" customFormat="1" ht="11.4">
      <c r="A34" s="86" t="s">
        <v>166</v>
      </c>
      <c r="B34" s="79" t="s">
        <v>167</v>
      </c>
      <c r="C34" s="80">
        <f>I62/1000</f>
        <v>195336.90410000001</v>
      </c>
      <c r="D34" s="80">
        <v>180249</v>
      </c>
      <c r="H34" s="77"/>
      <c r="I34" s="77">
        <v>264753780.62479997</v>
      </c>
      <c r="J34" s="76">
        <v>22</v>
      </c>
    </row>
    <row r="35" spans="1:10" s="76" customFormat="1" ht="11.4">
      <c r="A35" s="86" t="s">
        <v>168</v>
      </c>
      <c r="B35" s="79" t="s">
        <v>169</v>
      </c>
      <c r="C35" s="80"/>
      <c r="D35" s="80"/>
      <c r="H35" s="77"/>
      <c r="I35" s="77"/>
      <c r="J35" s="76">
        <v>105</v>
      </c>
    </row>
    <row r="36" spans="1:10" s="76" customFormat="1" ht="11.4">
      <c r="A36" s="86" t="s">
        <v>170</v>
      </c>
      <c r="B36" s="79" t="s">
        <v>171</v>
      </c>
      <c r="C36" s="80"/>
      <c r="D36" s="80"/>
      <c r="H36" s="77"/>
      <c r="I36" s="77"/>
    </row>
    <row r="37" spans="1:10" s="76" customFormat="1" ht="11.4">
      <c r="A37" s="86" t="s">
        <v>172</v>
      </c>
      <c r="B37" s="79" t="s">
        <v>173</v>
      </c>
      <c r="C37" s="80">
        <f>(I40+I51)/1000</f>
        <v>562001.09</v>
      </c>
      <c r="D37" s="80">
        <v>160669</v>
      </c>
      <c r="H37" s="77"/>
      <c r="I37" s="77"/>
      <c r="J37" s="76" t="s">
        <v>258</v>
      </c>
    </row>
    <row r="38" spans="1:10" s="76" customFormat="1" ht="11.4">
      <c r="A38" s="86" t="s">
        <v>174</v>
      </c>
      <c r="B38" s="79" t="s">
        <v>175</v>
      </c>
      <c r="C38" s="80">
        <f>(I30+I63+I68)/1000</f>
        <v>455143.77638</v>
      </c>
      <c r="D38" s="80">
        <v>31212</v>
      </c>
      <c r="H38" s="77"/>
      <c r="I38" s="77"/>
    </row>
    <row r="39" spans="1:10" s="76" customFormat="1" ht="22.8">
      <c r="A39" s="86" t="s">
        <v>176</v>
      </c>
      <c r="B39" s="79" t="s">
        <v>177</v>
      </c>
      <c r="C39" s="87">
        <f>C22-C30</f>
        <v>-130505.22300119931</v>
      </c>
      <c r="D39" s="87">
        <f>D22-D30</f>
        <v>91567</v>
      </c>
      <c r="H39" s="77"/>
      <c r="I39" s="77"/>
    </row>
    <row r="40" spans="1:10" s="76" customFormat="1" ht="11.4">
      <c r="A40" s="297" t="s">
        <v>178</v>
      </c>
      <c r="B40" s="298"/>
      <c r="C40" s="298"/>
      <c r="D40" s="299"/>
      <c r="H40" s="77"/>
      <c r="I40" s="77">
        <v>517851208</v>
      </c>
      <c r="J40" s="76">
        <v>26</v>
      </c>
    </row>
    <row r="41" spans="1:10" s="76" customFormat="1" ht="11.4">
      <c r="A41" s="86" t="s">
        <v>179</v>
      </c>
      <c r="B41" s="79" t="s">
        <v>180</v>
      </c>
      <c r="C41" s="80">
        <f>SUM(C43:C54)</f>
        <v>0</v>
      </c>
      <c r="D41" s="80">
        <f>SUM(D43:D54)</f>
        <v>0</v>
      </c>
      <c r="H41" s="77"/>
      <c r="I41" s="77"/>
    </row>
    <row r="42" spans="1:10" s="76" customFormat="1" ht="11.4">
      <c r="A42" s="86" t="s">
        <v>147</v>
      </c>
      <c r="B42" s="81"/>
      <c r="C42" s="80"/>
      <c r="D42" s="80"/>
      <c r="H42" s="77"/>
      <c r="I42" s="77"/>
    </row>
    <row r="43" spans="1:10" s="76" customFormat="1" ht="11.4">
      <c r="A43" s="86" t="s">
        <v>181</v>
      </c>
      <c r="B43" s="79" t="s">
        <v>182</v>
      </c>
      <c r="C43" s="80"/>
      <c r="D43" s="80"/>
      <c r="H43" s="77"/>
      <c r="I43" s="77"/>
    </row>
    <row r="44" spans="1:10" s="76" customFormat="1" ht="11.4">
      <c r="A44" s="86" t="s">
        <v>183</v>
      </c>
      <c r="B44" s="79" t="s">
        <v>184</v>
      </c>
      <c r="C44" s="80"/>
      <c r="D44" s="80"/>
      <c r="H44" s="77"/>
      <c r="I44" s="77">
        <v>115953176.0088</v>
      </c>
      <c r="J44" s="76">
        <v>61</v>
      </c>
    </row>
    <row r="45" spans="1:10" s="76" customFormat="1" ht="11.4">
      <c r="A45" s="86" t="s">
        <v>185</v>
      </c>
      <c r="B45" s="79" t="s">
        <v>186</v>
      </c>
      <c r="C45" s="80"/>
      <c r="D45" s="80"/>
      <c r="H45" s="77"/>
      <c r="I45" s="77"/>
      <c r="J45" s="76">
        <v>62</v>
      </c>
    </row>
    <row r="46" spans="1:10" s="76" customFormat="1" ht="22.8">
      <c r="A46" s="86" t="s">
        <v>187</v>
      </c>
      <c r="B46" s="79" t="s">
        <v>188</v>
      </c>
      <c r="C46" s="80"/>
      <c r="D46" s="80"/>
      <c r="H46" s="77"/>
      <c r="I46" s="77"/>
      <c r="J46" s="76">
        <v>63</v>
      </c>
    </row>
    <row r="47" spans="1:10" s="76" customFormat="1" ht="11.4">
      <c r="A47" s="86" t="s">
        <v>189</v>
      </c>
      <c r="B47" s="79" t="s">
        <v>190</v>
      </c>
      <c r="C47" s="80"/>
      <c r="D47" s="80"/>
      <c r="H47" s="77"/>
      <c r="I47" s="77"/>
    </row>
    <row r="48" spans="1:10" s="76" customFormat="1" ht="11.4">
      <c r="A48" s="86" t="s">
        <v>191</v>
      </c>
      <c r="B48" s="79" t="s">
        <v>192</v>
      </c>
      <c r="C48" s="80"/>
      <c r="D48" s="80"/>
      <c r="H48" s="77"/>
      <c r="I48" s="77"/>
    </row>
    <row r="49" spans="1:10" s="76" customFormat="1" ht="11.4">
      <c r="A49" s="86" t="s">
        <v>193</v>
      </c>
      <c r="B49" s="79" t="s">
        <v>194</v>
      </c>
      <c r="C49" s="80"/>
      <c r="D49" s="80"/>
      <c r="H49" s="77"/>
      <c r="I49" s="77"/>
    </row>
    <row r="50" spans="1:10" s="76" customFormat="1" ht="11.4">
      <c r="A50" s="86" t="s">
        <v>195</v>
      </c>
      <c r="B50" s="79" t="s">
        <v>196</v>
      </c>
      <c r="C50" s="80"/>
      <c r="D50" s="80"/>
      <c r="H50" s="77"/>
      <c r="I50" s="77"/>
    </row>
    <row r="51" spans="1:10" s="76" customFormat="1" ht="11.4">
      <c r="A51" s="86" t="s">
        <v>197</v>
      </c>
      <c r="B51" s="79" t="s">
        <v>198</v>
      </c>
      <c r="C51" s="80"/>
      <c r="D51" s="80"/>
      <c r="H51" s="77"/>
      <c r="I51" s="77">
        <v>44149882</v>
      </c>
      <c r="J51" s="76">
        <v>26</v>
      </c>
    </row>
    <row r="52" spans="1:10" s="76" customFormat="1" ht="11.4">
      <c r="A52" s="86" t="s">
        <v>199</v>
      </c>
      <c r="B52" s="79" t="s">
        <v>200</v>
      </c>
      <c r="C52" s="80"/>
      <c r="D52" s="80"/>
      <c r="H52" s="77"/>
      <c r="I52" s="77"/>
    </row>
    <row r="53" spans="1:10" s="76" customFormat="1" ht="11.4">
      <c r="A53" s="86" t="s">
        <v>156</v>
      </c>
      <c r="B53" s="79" t="s">
        <v>201</v>
      </c>
      <c r="C53" s="80"/>
      <c r="D53" s="80"/>
      <c r="H53" s="77"/>
      <c r="I53" s="77"/>
    </row>
    <row r="54" spans="1:10" s="76" customFormat="1" ht="11.4">
      <c r="A54" s="86" t="s">
        <v>158</v>
      </c>
      <c r="B54" s="79" t="s">
        <v>202</v>
      </c>
      <c r="C54" s="80"/>
      <c r="D54" s="80"/>
      <c r="H54" s="77"/>
      <c r="I54" s="77"/>
    </row>
    <row r="55" spans="1:10" s="76" customFormat="1" ht="12">
      <c r="A55" s="86" t="s">
        <v>203</v>
      </c>
      <c r="B55" s="79" t="s">
        <v>204</v>
      </c>
      <c r="C55" s="87">
        <f>SUM(C57:C69)</f>
        <v>115953.1760088</v>
      </c>
      <c r="D55" s="87">
        <f>SUM(D57:D69)</f>
        <v>189596</v>
      </c>
      <c r="H55" s="77"/>
      <c r="I55" s="77"/>
    </row>
    <row r="56" spans="1:10" s="76" customFormat="1" ht="11.4">
      <c r="A56" s="86" t="s">
        <v>147</v>
      </c>
      <c r="B56" s="81"/>
      <c r="C56" s="80"/>
      <c r="D56" s="80"/>
      <c r="H56" s="77"/>
      <c r="I56" s="77"/>
    </row>
    <row r="57" spans="1:10" s="76" customFormat="1" ht="11.4">
      <c r="A57" s="86" t="s">
        <v>205</v>
      </c>
      <c r="B57" s="79" t="s">
        <v>206</v>
      </c>
      <c r="C57" s="80">
        <f>I44/1000</f>
        <v>115953.1760088</v>
      </c>
      <c r="D57" s="80">
        <f>5747+171723</f>
        <v>177470</v>
      </c>
      <c r="E57" s="76">
        <v>515015.49666</v>
      </c>
      <c r="H57" s="77"/>
      <c r="I57" s="77"/>
    </row>
    <row r="58" spans="1:10" s="76" customFormat="1" ht="11.4">
      <c r="A58" s="86" t="s">
        <v>207</v>
      </c>
      <c r="B58" s="79" t="s">
        <v>208</v>
      </c>
      <c r="C58" s="80"/>
      <c r="D58" s="80"/>
      <c r="E58" s="76">
        <v>29550.080000000002</v>
      </c>
      <c r="H58" s="77"/>
      <c r="I58" s="77"/>
    </row>
    <row r="59" spans="1:10" s="76" customFormat="1" ht="11.4">
      <c r="A59" s="86" t="s">
        <v>209</v>
      </c>
      <c r="B59" s="79" t="s">
        <v>210</v>
      </c>
      <c r="C59" s="80"/>
      <c r="D59" s="80"/>
      <c r="E59" s="76">
        <v>12126</v>
      </c>
      <c r="H59" s="77"/>
      <c r="I59" s="77"/>
    </row>
    <row r="60" spans="1:10" s="76" customFormat="1" ht="22.8">
      <c r="A60" s="86" t="s">
        <v>211</v>
      </c>
      <c r="B60" s="79" t="s">
        <v>212</v>
      </c>
      <c r="C60" s="80"/>
      <c r="D60" s="80"/>
      <c r="H60" s="77"/>
      <c r="I60" s="77"/>
    </row>
    <row r="61" spans="1:10" s="76" customFormat="1" ht="11.4">
      <c r="A61" s="86" t="s">
        <v>213</v>
      </c>
      <c r="B61" s="79" t="s">
        <v>214</v>
      </c>
      <c r="C61" s="80"/>
      <c r="D61" s="80"/>
      <c r="H61" s="77"/>
      <c r="I61" s="77">
        <v>1397365159.6263998</v>
      </c>
      <c r="J61" s="76">
        <v>21</v>
      </c>
    </row>
    <row r="62" spans="1:10" s="76" customFormat="1" ht="11.4">
      <c r="A62" s="86" t="s">
        <v>215</v>
      </c>
      <c r="B62" s="79" t="s">
        <v>216</v>
      </c>
      <c r="C62" s="80"/>
      <c r="D62" s="80"/>
      <c r="H62" s="77"/>
      <c r="I62" s="77">
        <v>195336904.10000002</v>
      </c>
      <c r="J62" s="76">
        <v>23</v>
      </c>
    </row>
    <row r="63" spans="1:10" s="76" customFormat="1" ht="11.4">
      <c r="A63" s="86" t="s">
        <v>217</v>
      </c>
      <c r="B63" s="79" t="s">
        <v>218</v>
      </c>
      <c r="C63" s="80">
        <f>I25/1000</f>
        <v>0</v>
      </c>
      <c r="D63" s="80">
        <v>12126</v>
      </c>
      <c r="H63" s="77"/>
      <c r="I63" s="77">
        <v>1375873.15</v>
      </c>
      <c r="J63" s="76">
        <v>27</v>
      </c>
    </row>
    <row r="64" spans="1:10" s="76" customFormat="1" ht="11.4">
      <c r="A64" s="86" t="s">
        <v>168</v>
      </c>
      <c r="B64" s="79" t="s">
        <v>219</v>
      </c>
      <c r="C64" s="80"/>
      <c r="D64" s="80"/>
      <c r="H64" s="77">
        <v>417440475.23000002</v>
      </c>
      <c r="I64" s="77"/>
      <c r="J64" s="76">
        <v>13</v>
      </c>
    </row>
    <row r="65" spans="1:10" s="76" customFormat="1" ht="11.4">
      <c r="A65" s="86" t="s">
        <v>220</v>
      </c>
      <c r="B65" s="79" t="s">
        <v>221</v>
      </c>
      <c r="C65" s="80"/>
      <c r="D65" s="80"/>
      <c r="H65" s="77">
        <v>284108436.73000002</v>
      </c>
      <c r="I65" s="77"/>
      <c r="J65" s="76">
        <v>16</v>
      </c>
    </row>
    <row r="66" spans="1:10" s="76" customFormat="1" ht="11.4">
      <c r="A66" s="86" t="s">
        <v>222</v>
      </c>
      <c r="B66" s="79" t="s">
        <v>223</v>
      </c>
      <c r="C66" s="80"/>
      <c r="D66" s="80"/>
      <c r="H66" s="77"/>
      <c r="I66" s="77"/>
    </row>
    <row r="67" spans="1:10" s="76" customFormat="1" ht="11.4">
      <c r="A67" s="86" t="s">
        <v>197</v>
      </c>
      <c r="B67" s="79" t="s">
        <v>224</v>
      </c>
      <c r="C67" s="80"/>
      <c r="D67" s="80"/>
      <c r="H67" s="77"/>
      <c r="I67" s="77"/>
    </row>
    <row r="68" spans="1:10" s="76" customFormat="1" ht="11.4">
      <c r="A68" s="86" t="s">
        <v>225</v>
      </c>
      <c r="B68" s="79" t="s">
        <v>226</v>
      </c>
      <c r="C68" s="80"/>
      <c r="D68" s="80"/>
      <c r="H68" s="77"/>
      <c r="I68" s="77">
        <v>452072272.23000002</v>
      </c>
      <c r="J68" s="76">
        <v>27</v>
      </c>
    </row>
    <row r="69" spans="1:10" s="76" customFormat="1" ht="11.4">
      <c r="A69" s="86" t="s">
        <v>174</v>
      </c>
      <c r="B69" s="79" t="s">
        <v>227</v>
      </c>
      <c r="C69" s="80"/>
      <c r="D69" s="80"/>
      <c r="H69" s="77"/>
      <c r="I69" s="77"/>
    </row>
    <row r="70" spans="1:10" s="76" customFormat="1" ht="22.8">
      <c r="A70" s="86" t="s">
        <v>228</v>
      </c>
      <c r="B70" s="79" t="s">
        <v>229</v>
      </c>
      <c r="C70" s="87">
        <f>C41-C55</f>
        <v>-115953.1760088</v>
      </c>
      <c r="D70" s="87">
        <f>D41-D55</f>
        <v>-189596</v>
      </c>
      <c r="H70" s="77"/>
      <c r="I70" s="77"/>
    </row>
    <row r="71" spans="1:10" s="76" customFormat="1" ht="11.4">
      <c r="A71" s="297" t="s">
        <v>230</v>
      </c>
      <c r="B71" s="298"/>
      <c r="C71" s="298"/>
      <c r="D71" s="299"/>
      <c r="H71" s="77"/>
      <c r="I71" s="77"/>
    </row>
    <row r="72" spans="1:10" s="76" customFormat="1" ht="11.4">
      <c r="A72" s="86" t="s">
        <v>231</v>
      </c>
      <c r="B72" s="79" t="s">
        <v>232</v>
      </c>
      <c r="C72" s="80">
        <f>SUM(C74:C77)</f>
        <v>0</v>
      </c>
      <c r="D72" s="80">
        <f>SUM(D74:D77)</f>
        <v>0</v>
      </c>
      <c r="H72" s="77"/>
      <c r="I72" s="77"/>
    </row>
    <row r="73" spans="1:10" s="76" customFormat="1" ht="11.4">
      <c r="A73" s="86" t="s">
        <v>147</v>
      </c>
      <c r="B73" s="81"/>
      <c r="C73" s="80"/>
      <c r="D73" s="80"/>
      <c r="H73" s="77"/>
      <c r="I73" s="77"/>
    </row>
    <row r="74" spans="1:10" s="76" customFormat="1" ht="11.4">
      <c r="A74" s="86" t="s">
        <v>233</v>
      </c>
      <c r="B74" s="79" t="s">
        <v>234</v>
      </c>
      <c r="C74" s="80"/>
      <c r="D74" s="80"/>
      <c r="H74" s="77"/>
      <c r="I74" s="77"/>
      <c r="J74" s="76">
        <v>16</v>
      </c>
    </row>
    <row r="75" spans="1:10" s="76" customFormat="1" ht="11.4">
      <c r="A75" s="86" t="s">
        <v>235</v>
      </c>
      <c r="B75" s="79" t="s">
        <v>236</v>
      </c>
      <c r="C75" s="80"/>
      <c r="D75" s="80"/>
      <c r="H75" s="77"/>
      <c r="I75" s="77"/>
    </row>
    <row r="76" spans="1:10" s="76" customFormat="1" ht="11.4">
      <c r="A76" s="86" t="s">
        <v>156</v>
      </c>
      <c r="B76" s="79" t="s">
        <v>237</v>
      </c>
      <c r="C76" s="80"/>
      <c r="D76" s="80"/>
      <c r="H76" s="77"/>
      <c r="I76" s="77"/>
      <c r="J76" s="76">
        <v>120</v>
      </c>
    </row>
    <row r="77" spans="1:10" s="76" customFormat="1" ht="11.4">
      <c r="A77" s="86" t="s">
        <v>158</v>
      </c>
      <c r="B77" s="79" t="s">
        <v>238</v>
      </c>
      <c r="C77" s="80"/>
      <c r="D77" s="80"/>
      <c r="H77" s="77">
        <v>2744095487.73</v>
      </c>
      <c r="I77" s="77">
        <v>2990553886.7399998</v>
      </c>
      <c r="J77" s="76">
        <v>-246458399.00999975</v>
      </c>
    </row>
    <row r="78" spans="1:10" s="76" customFormat="1" ht="11.4">
      <c r="A78" s="86" t="s">
        <v>239</v>
      </c>
      <c r="B78" s="79">
        <v>100</v>
      </c>
      <c r="C78" s="80">
        <f>SUM(C80:C84)</f>
        <v>0</v>
      </c>
      <c r="D78" s="80">
        <f>SUM(D80:D84)</f>
        <v>0</v>
      </c>
      <c r="H78" s="77">
        <v>1064380202.04</v>
      </c>
      <c r="I78" s="77"/>
    </row>
    <row r="79" spans="1:10" s="76" customFormat="1" ht="11.4">
      <c r="A79" s="86" t="s">
        <v>147</v>
      </c>
      <c r="B79" s="81"/>
      <c r="C79" s="80"/>
      <c r="D79" s="80"/>
      <c r="H79" s="77">
        <v>0</v>
      </c>
      <c r="I79" s="77"/>
    </row>
    <row r="80" spans="1:10" s="76" customFormat="1" ht="11.4">
      <c r="A80" s="86" t="s">
        <v>240</v>
      </c>
      <c r="B80" s="79">
        <v>101</v>
      </c>
      <c r="C80" s="80"/>
      <c r="D80" s="80"/>
      <c r="H80" s="77"/>
      <c r="I80" s="77"/>
    </row>
    <row r="81" spans="1:9" s="76" customFormat="1" ht="11.4">
      <c r="A81" s="86" t="s">
        <v>168</v>
      </c>
      <c r="B81" s="79">
        <v>102</v>
      </c>
      <c r="C81" s="80"/>
      <c r="D81" s="80"/>
      <c r="H81" s="77"/>
      <c r="I81" s="77"/>
    </row>
    <row r="82" spans="1:9" s="76" customFormat="1" ht="11.4">
      <c r="A82" s="86" t="s">
        <v>241</v>
      </c>
      <c r="B82" s="79">
        <v>103</v>
      </c>
      <c r="C82" s="80"/>
      <c r="D82" s="80"/>
      <c r="H82" s="77"/>
      <c r="I82" s="77"/>
    </row>
    <row r="83" spans="1:9" s="76" customFormat="1" ht="11.4">
      <c r="A83" s="86" t="s">
        <v>242</v>
      </c>
      <c r="B83" s="79">
        <v>104</v>
      </c>
      <c r="C83" s="80"/>
      <c r="D83" s="80"/>
      <c r="H83" s="77"/>
      <c r="I83" s="77"/>
    </row>
    <row r="84" spans="1:9" s="76" customFormat="1" ht="11.4">
      <c r="A84" s="86" t="s">
        <v>243</v>
      </c>
      <c r="B84" s="79">
        <v>105</v>
      </c>
      <c r="C84" s="80"/>
      <c r="D84" s="80"/>
      <c r="H84" s="77"/>
      <c r="I84" s="77"/>
    </row>
    <row r="85" spans="1:9" s="76" customFormat="1" ht="22.8">
      <c r="A85" s="86" t="s">
        <v>244</v>
      </c>
      <c r="B85" s="79">
        <v>110</v>
      </c>
      <c r="C85" s="80">
        <f>C72-C78</f>
        <v>0</v>
      </c>
      <c r="D85" s="80">
        <f>D72-D78</f>
        <v>0</v>
      </c>
      <c r="H85" s="77"/>
      <c r="I85" s="77"/>
    </row>
    <row r="86" spans="1:9" s="76" customFormat="1" ht="11.4">
      <c r="A86" s="86" t="s">
        <v>245</v>
      </c>
      <c r="B86" s="79">
        <v>120</v>
      </c>
      <c r="C86" s="80"/>
      <c r="D86" s="80"/>
      <c r="H86" s="77"/>
      <c r="I86" s="77"/>
    </row>
    <row r="87" spans="1:9" s="76" customFormat="1" ht="22.8">
      <c r="A87" s="86" t="s">
        <v>246</v>
      </c>
      <c r="B87" s="79">
        <v>130</v>
      </c>
      <c r="C87" s="80"/>
      <c r="D87" s="80"/>
      <c r="H87" s="77"/>
      <c r="I87" s="77"/>
    </row>
    <row r="88" spans="1:9" s="76" customFormat="1" ht="22.8">
      <c r="A88" s="86" t="s">
        <v>247</v>
      </c>
      <c r="B88" s="79">
        <v>140</v>
      </c>
      <c r="C88" s="80">
        <f>C39+C70+C85+C86+C87</f>
        <v>-246458.3990099993</v>
      </c>
      <c r="D88" s="80">
        <f>D39+D70+D85+D86+D87</f>
        <v>-98029</v>
      </c>
      <c r="H88" s="77"/>
      <c r="I88" s="77"/>
    </row>
    <row r="89" spans="1:9" s="76" customFormat="1" ht="22.8">
      <c r="A89" s="86" t="s">
        <v>248</v>
      </c>
      <c r="B89" s="79">
        <v>150</v>
      </c>
      <c r="C89" s="80">
        <f>H18/1000</f>
        <v>1310838.6010499999</v>
      </c>
      <c r="D89" s="80">
        <v>247136</v>
      </c>
      <c r="H89" s="77"/>
      <c r="I89" s="77"/>
    </row>
    <row r="90" spans="1:9" s="76" customFormat="1" ht="22.8">
      <c r="A90" s="86" t="s">
        <v>249</v>
      </c>
      <c r="B90" s="79">
        <v>160</v>
      </c>
      <c r="C90" s="87">
        <f>SUM(C88:C89)</f>
        <v>1064380.2020400006</v>
      </c>
      <c r="D90" s="87">
        <f>SUM(D88:D89)</f>
        <v>149107</v>
      </c>
      <c r="H90" s="77"/>
      <c r="I90" s="77"/>
    </row>
    <row r="91" spans="1:9" s="76" customFormat="1" ht="11.4">
      <c r="A91" s="300"/>
      <c r="B91" s="300"/>
      <c r="C91" s="300"/>
      <c r="D91" s="300"/>
      <c r="H91" s="77"/>
      <c r="I91" s="77"/>
    </row>
    <row r="92" spans="1:9" s="76" customFormat="1" ht="11.4" customHeight="1">
      <c r="A92" s="295" t="s">
        <v>261</v>
      </c>
      <c r="B92" s="295"/>
      <c r="C92" s="295"/>
      <c r="D92" s="295"/>
      <c r="H92" s="77"/>
      <c r="I92" s="77"/>
    </row>
    <row r="93" spans="1:9" s="76" customFormat="1" ht="11.4" customHeight="1">
      <c r="A93" s="295" t="s">
        <v>250</v>
      </c>
      <c r="B93" s="295"/>
      <c r="C93" s="295"/>
      <c r="D93" s="295"/>
      <c r="H93" s="77"/>
      <c r="I93" s="77"/>
    </row>
    <row r="94" spans="1:9" s="76" customFormat="1" ht="11.4" customHeight="1">
      <c r="A94" s="295" t="s">
        <v>262</v>
      </c>
      <c r="B94" s="295"/>
      <c r="C94" s="295"/>
      <c r="D94" s="295"/>
      <c r="H94" s="77"/>
      <c r="I94" s="77"/>
    </row>
    <row r="95" spans="1:9" s="76" customFormat="1" ht="11.4" customHeight="1">
      <c r="A95" s="295" t="s">
        <v>251</v>
      </c>
      <c r="B95" s="295"/>
      <c r="C95" s="295"/>
      <c r="D95" s="295"/>
      <c r="H95" s="77"/>
      <c r="I95" s="77"/>
    </row>
    <row r="96" spans="1:9" s="76" customFormat="1" ht="11.4">
      <c r="A96" s="295"/>
      <c r="B96" s="295"/>
      <c r="C96" s="295"/>
      <c r="D96" s="295"/>
      <c r="H96" s="77"/>
      <c r="I96" s="77"/>
    </row>
    <row r="97" spans="1:9" s="76" customFormat="1" ht="11.4">
      <c r="A97" s="295" t="s">
        <v>252</v>
      </c>
      <c r="B97" s="295"/>
      <c r="C97" s="295"/>
      <c r="D97" s="295"/>
      <c r="H97" s="77"/>
      <c r="I97" s="77"/>
    </row>
    <row r="98" spans="1:9" s="76" customFormat="1" ht="11.4">
      <c r="A98" s="85"/>
      <c r="H98" s="77"/>
      <c r="I98" s="77"/>
    </row>
    <row r="99" spans="1:9" s="76" customFormat="1" ht="11.4">
      <c r="A99" s="82"/>
      <c r="H99" s="77"/>
      <c r="I99" s="77"/>
    </row>
  </sheetData>
  <mergeCells count="29">
    <mergeCell ref="A93:D93"/>
    <mergeCell ref="A94:D94"/>
    <mergeCell ref="A95:D95"/>
    <mergeCell ref="A96:D96"/>
    <mergeCell ref="A97:D97"/>
    <mergeCell ref="A92:D92"/>
    <mergeCell ref="A13:D13"/>
    <mergeCell ref="A14:D14"/>
    <mergeCell ref="A15:D15"/>
    <mergeCell ref="A16:D16"/>
    <mergeCell ref="A17:D17"/>
    <mergeCell ref="A18:D18"/>
    <mergeCell ref="A19:D19"/>
    <mergeCell ref="A21:D21"/>
    <mergeCell ref="A40:D40"/>
    <mergeCell ref="A71:D71"/>
    <mergeCell ref="A91:D91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7CA6-ED95-4281-B8FC-FAC3E5FF913C}">
  <sheetPr>
    <pageSetUpPr fitToPage="1"/>
  </sheetPr>
  <dimension ref="A1:E13"/>
  <sheetViews>
    <sheetView workbookViewId="0">
      <selection activeCell="C17" sqref="C17"/>
    </sheetView>
  </sheetViews>
  <sheetFormatPr defaultRowHeight="14.4"/>
  <cols>
    <col min="1" max="1" width="34.44140625" customWidth="1"/>
    <col min="3" max="5" width="18" customWidth="1"/>
  </cols>
  <sheetData>
    <row r="1" spans="1:5">
      <c r="A1" s="278" t="s">
        <v>125</v>
      </c>
      <c r="B1" s="278"/>
      <c r="C1" s="278"/>
      <c r="D1" s="278"/>
      <c r="E1" s="278"/>
    </row>
    <row r="2" spans="1:5" ht="47.25" customHeight="1">
      <c r="A2" s="277" t="s">
        <v>532</v>
      </c>
      <c r="B2" s="277"/>
      <c r="C2" s="277"/>
      <c r="D2" s="277"/>
      <c r="E2" s="54"/>
    </row>
    <row r="3" spans="1:5">
      <c r="A3" s="34"/>
    </row>
    <row r="4" spans="1:5">
      <c r="A4" s="16"/>
      <c r="B4" s="16"/>
      <c r="C4" s="16"/>
      <c r="D4" s="4"/>
      <c r="E4" s="16"/>
    </row>
    <row r="5" spans="1:5">
      <c r="A5" s="16"/>
      <c r="B5" s="16"/>
      <c r="E5" s="16"/>
    </row>
    <row r="6" spans="1:5" ht="31.2" thickBot="1">
      <c r="A6" s="2" t="s">
        <v>67</v>
      </c>
      <c r="B6" s="4" t="s">
        <v>1</v>
      </c>
      <c r="C6" s="35" t="s">
        <v>50</v>
      </c>
      <c r="D6" s="35" t="s">
        <v>107</v>
      </c>
      <c r="E6" s="35" t="s">
        <v>104</v>
      </c>
    </row>
    <row r="7" spans="1:5">
      <c r="A7" s="9" t="s">
        <v>106</v>
      </c>
      <c r="B7" s="10"/>
      <c r="C7" s="22">
        <f ca="1">SUM(C7:C8)</f>
        <v>5500000</v>
      </c>
      <c r="D7" s="22">
        <f ca="1">SUM(D7:D8)</f>
        <v>609620</v>
      </c>
      <c r="E7" s="22">
        <f ca="1">SUM(E7:E8)</f>
        <v>6109620</v>
      </c>
    </row>
    <row r="8" spans="1:5" ht="15" thickBot="1">
      <c r="A8" s="7" t="s">
        <v>105</v>
      </c>
      <c r="B8" s="10"/>
      <c r="C8" s="35" t="s">
        <v>20</v>
      </c>
      <c r="D8" s="88">
        <v>2952168</v>
      </c>
      <c r="E8" s="88">
        <f>SUM(C8:D8)</f>
        <v>2952168</v>
      </c>
    </row>
    <row r="9" spans="1:5" ht="16.8" customHeight="1">
      <c r="A9" s="9" t="s">
        <v>254</v>
      </c>
      <c r="B9" s="10"/>
      <c r="C9" s="22">
        <v>5500000</v>
      </c>
      <c r="D9" s="22">
        <v>3561788</v>
      </c>
      <c r="E9" s="22">
        <v>9061788</v>
      </c>
    </row>
    <row r="10" spans="1:5">
      <c r="A10" s="7" t="s">
        <v>259</v>
      </c>
      <c r="B10" s="10"/>
      <c r="C10" s="20"/>
      <c r="D10" s="20">
        <f>'ОДР и ПСД'!C19</f>
        <v>2765476.9697899995</v>
      </c>
      <c r="E10" s="20">
        <f>D10</f>
        <v>2765476.9697899995</v>
      </c>
    </row>
    <row r="11" spans="1:5" ht="15" thickBot="1">
      <c r="A11" s="9" t="s">
        <v>533</v>
      </c>
      <c r="B11" s="10"/>
      <c r="C11" s="23">
        <f>SUM(C9:C10)</f>
        <v>5500000</v>
      </c>
      <c r="D11" s="23">
        <f>D9+D10</f>
        <v>6327264.9697899995</v>
      </c>
      <c r="E11" s="23">
        <f>E9+E10</f>
        <v>11827264.96979</v>
      </c>
    </row>
    <row r="12" spans="1:5" ht="15" thickTop="1">
      <c r="A12" s="36"/>
      <c r="E12" s="30"/>
    </row>
    <row r="13" spans="1:5">
      <c r="D13" s="30"/>
    </row>
  </sheetData>
  <mergeCells count="2">
    <mergeCell ref="A1:E1"/>
    <mergeCell ref="A2:D2"/>
  </mergeCells>
  <pageMargins left="0.70866141732283472" right="0.31496062992125984" top="0.74803149606299213" bottom="0.74803149606299213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E0C37-8196-4591-8F73-13CEF7F16995}">
  <sheetPr>
    <tabColor theme="0"/>
  </sheetPr>
  <dimension ref="A1:WWM129"/>
  <sheetViews>
    <sheetView topLeftCell="B1" workbookViewId="0">
      <pane xSplit="2" ySplit="6" topLeftCell="L7" activePane="bottomRight" state="frozen"/>
      <selection activeCell="B1" sqref="B1"/>
      <selection pane="topRight" activeCell="D1" sqref="D1"/>
      <selection pane="bottomLeft" activeCell="B7" sqref="B7"/>
      <selection pane="bottomRight" activeCell="C58" sqref="C58"/>
    </sheetView>
  </sheetViews>
  <sheetFormatPr defaultColWidth="0" defaultRowHeight="11.4"/>
  <cols>
    <col min="1" max="1" width="4.88671875" style="138" hidden="1" customWidth="1"/>
    <col min="2" max="2" width="46" style="138" customWidth="1"/>
    <col min="3" max="3" width="14.21875" style="138" customWidth="1"/>
    <col min="4" max="4" width="3.44140625" style="138" customWidth="1"/>
    <col min="5" max="5" width="10.6640625" style="138" customWidth="1"/>
    <col min="6" max="9" width="11.33203125" style="138" customWidth="1"/>
    <col min="10" max="10" width="14" style="138" customWidth="1"/>
    <col min="11" max="13" width="11.33203125" style="138" customWidth="1"/>
    <col min="14" max="14" width="13.6640625" style="138" customWidth="1"/>
    <col min="15" max="15" width="12.109375" style="138" customWidth="1"/>
    <col min="16" max="17" width="11.33203125" style="138" hidden="1" customWidth="1"/>
    <col min="18" max="18" width="11.33203125" style="138" customWidth="1"/>
    <col min="19" max="19" width="11.33203125" style="138" hidden="1" customWidth="1"/>
    <col min="20" max="25" width="11.33203125" style="138" customWidth="1"/>
    <col min="26" max="26" width="9.44140625" style="138" bestFit="1" customWidth="1"/>
    <col min="27" max="27" width="9.33203125" style="138" customWidth="1"/>
    <col min="28" max="264" width="9.33203125" style="138" hidden="1"/>
    <col min="265" max="265" width="46" style="138" hidden="1"/>
    <col min="266" max="266" width="12.5546875" style="138" hidden="1"/>
    <col min="267" max="267" width="3.44140625" style="138" hidden="1"/>
    <col min="268" max="281" width="13.44140625" style="138" hidden="1"/>
    <col min="282" max="282" width="9.44140625" style="138" hidden="1"/>
    <col min="283" max="520" width="9.33203125" style="138" hidden="1"/>
    <col min="521" max="521" width="46" style="138" hidden="1"/>
    <col min="522" max="522" width="12.5546875" style="138" hidden="1"/>
    <col min="523" max="523" width="3.44140625" style="138" hidden="1"/>
    <col min="524" max="537" width="13.44140625" style="138" hidden="1"/>
    <col min="538" max="538" width="9.44140625" style="138" hidden="1"/>
    <col min="539" max="776" width="9.33203125" style="138" hidden="1"/>
    <col min="777" max="777" width="46" style="138" hidden="1"/>
    <col min="778" max="778" width="12.5546875" style="138" hidden="1"/>
    <col min="779" max="779" width="3.44140625" style="138" hidden="1"/>
    <col min="780" max="793" width="13.44140625" style="138" hidden="1"/>
    <col min="794" max="794" width="9.44140625" style="138" hidden="1"/>
    <col min="795" max="1032" width="9.33203125" style="138" hidden="1"/>
    <col min="1033" max="1033" width="46" style="138" hidden="1"/>
    <col min="1034" max="1034" width="12.5546875" style="138" hidden="1"/>
    <col min="1035" max="1035" width="3.44140625" style="138" hidden="1"/>
    <col min="1036" max="1049" width="13.44140625" style="138" hidden="1"/>
    <col min="1050" max="1050" width="9.44140625" style="138" hidden="1"/>
    <col min="1051" max="1288" width="9.33203125" style="138" hidden="1"/>
    <col min="1289" max="1289" width="46" style="138" hidden="1"/>
    <col min="1290" max="1290" width="12.5546875" style="138" hidden="1"/>
    <col min="1291" max="1291" width="3.44140625" style="138" hidden="1"/>
    <col min="1292" max="1305" width="13.44140625" style="138" hidden="1"/>
    <col min="1306" max="1306" width="9.44140625" style="138" hidden="1"/>
    <col min="1307" max="1544" width="9.33203125" style="138" hidden="1"/>
    <col min="1545" max="1545" width="46" style="138" hidden="1"/>
    <col min="1546" max="1546" width="12.5546875" style="138" hidden="1"/>
    <col min="1547" max="1547" width="3.44140625" style="138" hidden="1"/>
    <col min="1548" max="1561" width="13.44140625" style="138" hidden="1"/>
    <col min="1562" max="1562" width="9.44140625" style="138" hidden="1"/>
    <col min="1563" max="1800" width="9.33203125" style="138" hidden="1"/>
    <col min="1801" max="1801" width="46" style="138" hidden="1"/>
    <col min="1802" max="1802" width="12.5546875" style="138" hidden="1"/>
    <col min="1803" max="1803" width="3.44140625" style="138" hidden="1"/>
    <col min="1804" max="1817" width="13.44140625" style="138" hidden="1"/>
    <col min="1818" max="1818" width="9.44140625" style="138" hidden="1"/>
    <col min="1819" max="2056" width="9.33203125" style="138" hidden="1"/>
    <col min="2057" max="2057" width="46" style="138" hidden="1"/>
    <col min="2058" max="2058" width="12.5546875" style="138" hidden="1"/>
    <col min="2059" max="2059" width="3.44140625" style="138" hidden="1"/>
    <col min="2060" max="2073" width="13.44140625" style="138" hidden="1"/>
    <col min="2074" max="2074" width="9.44140625" style="138" hidden="1"/>
    <col min="2075" max="2312" width="9.33203125" style="138" hidden="1"/>
    <col min="2313" max="2313" width="46" style="138" hidden="1"/>
    <col min="2314" max="2314" width="12.5546875" style="138" hidden="1"/>
    <col min="2315" max="2315" width="3.44140625" style="138" hidden="1"/>
    <col min="2316" max="2329" width="13.44140625" style="138" hidden="1"/>
    <col min="2330" max="2330" width="9.44140625" style="138" hidden="1"/>
    <col min="2331" max="2568" width="9.33203125" style="138" hidden="1"/>
    <col min="2569" max="2569" width="46" style="138" hidden="1"/>
    <col min="2570" max="2570" width="12.5546875" style="138" hidden="1"/>
    <col min="2571" max="2571" width="3.44140625" style="138" hidden="1"/>
    <col min="2572" max="2585" width="13.44140625" style="138" hidden="1"/>
    <col min="2586" max="2586" width="9.44140625" style="138" hidden="1"/>
    <col min="2587" max="2824" width="9.33203125" style="138" hidden="1"/>
    <col min="2825" max="2825" width="46" style="138" hidden="1"/>
    <col min="2826" max="2826" width="12.5546875" style="138" hidden="1"/>
    <col min="2827" max="2827" width="3.44140625" style="138" hidden="1"/>
    <col min="2828" max="2841" width="13.44140625" style="138" hidden="1"/>
    <col min="2842" max="2842" width="9.44140625" style="138" hidden="1"/>
    <col min="2843" max="3080" width="9.33203125" style="138" hidden="1"/>
    <col min="3081" max="3081" width="46" style="138" hidden="1"/>
    <col min="3082" max="3082" width="12.5546875" style="138" hidden="1"/>
    <col min="3083" max="3083" width="3.44140625" style="138" hidden="1"/>
    <col min="3084" max="3097" width="13.44140625" style="138" hidden="1"/>
    <col min="3098" max="3098" width="9.44140625" style="138" hidden="1"/>
    <col min="3099" max="3336" width="9.33203125" style="138" hidden="1"/>
    <col min="3337" max="3337" width="46" style="138" hidden="1"/>
    <col min="3338" max="3338" width="12.5546875" style="138" hidden="1"/>
    <col min="3339" max="3339" width="3.44140625" style="138" hidden="1"/>
    <col min="3340" max="3353" width="13.44140625" style="138" hidden="1"/>
    <col min="3354" max="3354" width="9.44140625" style="138" hidden="1"/>
    <col min="3355" max="3592" width="9.33203125" style="138" hidden="1"/>
    <col min="3593" max="3593" width="46" style="138" hidden="1"/>
    <col min="3594" max="3594" width="12.5546875" style="138" hidden="1"/>
    <col min="3595" max="3595" width="3.44140625" style="138" hidden="1"/>
    <col min="3596" max="3609" width="13.44140625" style="138" hidden="1"/>
    <col min="3610" max="3610" width="9.44140625" style="138" hidden="1"/>
    <col min="3611" max="3848" width="9.33203125" style="138" hidden="1"/>
    <col min="3849" max="3849" width="46" style="138" hidden="1"/>
    <col min="3850" max="3850" width="12.5546875" style="138" hidden="1"/>
    <col min="3851" max="3851" width="3.44140625" style="138" hidden="1"/>
    <col min="3852" max="3865" width="13.44140625" style="138" hidden="1"/>
    <col min="3866" max="3866" width="9.44140625" style="138" hidden="1"/>
    <col min="3867" max="4104" width="9.33203125" style="138" hidden="1"/>
    <col min="4105" max="4105" width="46" style="138" hidden="1"/>
    <col min="4106" max="4106" width="12.5546875" style="138" hidden="1"/>
    <col min="4107" max="4107" width="3.44140625" style="138" hidden="1"/>
    <col min="4108" max="4121" width="13.44140625" style="138" hidden="1"/>
    <col min="4122" max="4122" width="9.44140625" style="138" hidden="1"/>
    <col min="4123" max="4360" width="9.33203125" style="138" hidden="1"/>
    <col min="4361" max="4361" width="46" style="138" hidden="1"/>
    <col min="4362" max="4362" width="12.5546875" style="138" hidden="1"/>
    <col min="4363" max="4363" width="3.44140625" style="138" hidden="1"/>
    <col min="4364" max="4377" width="13.44140625" style="138" hidden="1"/>
    <col min="4378" max="4378" width="9.44140625" style="138" hidden="1"/>
    <col min="4379" max="4616" width="9.33203125" style="138" hidden="1"/>
    <col min="4617" max="4617" width="46" style="138" hidden="1"/>
    <col min="4618" max="4618" width="12.5546875" style="138" hidden="1"/>
    <col min="4619" max="4619" width="3.44140625" style="138" hidden="1"/>
    <col min="4620" max="4633" width="13.44140625" style="138" hidden="1"/>
    <col min="4634" max="4634" width="9.44140625" style="138" hidden="1"/>
    <col min="4635" max="4872" width="9.33203125" style="138" hidden="1"/>
    <col min="4873" max="4873" width="46" style="138" hidden="1"/>
    <col min="4874" max="4874" width="12.5546875" style="138" hidden="1"/>
    <col min="4875" max="4875" width="3.44140625" style="138" hidden="1"/>
    <col min="4876" max="4889" width="13.44140625" style="138" hidden="1"/>
    <col min="4890" max="4890" width="9.44140625" style="138" hidden="1"/>
    <col min="4891" max="5128" width="9.33203125" style="138" hidden="1"/>
    <col min="5129" max="5129" width="46" style="138" hidden="1"/>
    <col min="5130" max="5130" width="12.5546875" style="138" hidden="1"/>
    <col min="5131" max="5131" width="3.44140625" style="138" hidden="1"/>
    <col min="5132" max="5145" width="13.44140625" style="138" hidden="1"/>
    <col min="5146" max="5146" width="9.44140625" style="138" hidden="1"/>
    <col min="5147" max="5384" width="9.33203125" style="138" hidden="1"/>
    <col min="5385" max="5385" width="46" style="138" hidden="1"/>
    <col min="5386" max="5386" width="12.5546875" style="138" hidden="1"/>
    <col min="5387" max="5387" width="3.44140625" style="138" hidden="1"/>
    <col min="5388" max="5401" width="13.44140625" style="138" hidden="1"/>
    <col min="5402" max="5402" width="9.44140625" style="138" hidden="1"/>
    <col min="5403" max="5640" width="9.33203125" style="138" hidden="1"/>
    <col min="5641" max="5641" width="46" style="138" hidden="1"/>
    <col min="5642" max="5642" width="12.5546875" style="138" hidden="1"/>
    <col min="5643" max="5643" width="3.44140625" style="138" hidden="1"/>
    <col min="5644" max="5657" width="13.44140625" style="138" hidden="1"/>
    <col min="5658" max="5658" width="9.44140625" style="138" hidden="1"/>
    <col min="5659" max="5896" width="9.33203125" style="138" hidden="1"/>
    <col min="5897" max="5897" width="46" style="138" hidden="1"/>
    <col min="5898" max="5898" width="12.5546875" style="138" hidden="1"/>
    <col min="5899" max="5899" width="3.44140625" style="138" hidden="1"/>
    <col min="5900" max="5913" width="13.44140625" style="138" hidden="1"/>
    <col min="5914" max="5914" width="9.44140625" style="138" hidden="1"/>
    <col min="5915" max="6152" width="9.33203125" style="138" hidden="1"/>
    <col min="6153" max="6153" width="46" style="138" hidden="1"/>
    <col min="6154" max="6154" width="12.5546875" style="138" hidden="1"/>
    <col min="6155" max="6155" width="3.44140625" style="138" hidden="1"/>
    <col min="6156" max="6169" width="13.44140625" style="138" hidden="1"/>
    <col min="6170" max="6170" width="9.44140625" style="138" hidden="1"/>
    <col min="6171" max="6408" width="9.33203125" style="138" hidden="1"/>
    <col min="6409" max="6409" width="46" style="138" hidden="1"/>
    <col min="6410" max="6410" width="12.5546875" style="138" hidden="1"/>
    <col min="6411" max="6411" width="3.44140625" style="138" hidden="1"/>
    <col min="6412" max="6425" width="13.44140625" style="138" hidden="1"/>
    <col min="6426" max="6426" width="9.44140625" style="138" hidden="1"/>
    <col min="6427" max="6664" width="9.33203125" style="138" hidden="1"/>
    <col min="6665" max="6665" width="46" style="138" hidden="1"/>
    <col min="6666" max="6666" width="12.5546875" style="138" hidden="1"/>
    <col min="6667" max="6667" width="3.44140625" style="138" hidden="1"/>
    <col min="6668" max="6681" width="13.44140625" style="138" hidden="1"/>
    <col min="6682" max="6682" width="9.44140625" style="138" hidden="1"/>
    <col min="6683" max="6920" width="9.33203125" style="138" hidden="1"/>
    <col min="6921" max="6921" width="46" style="138" hidden="1"/>
    <col min="6922" max="6922" width="12.5546875" style="138" hidden="1"/>
    <col min="6923" max="6923" width="3.44140625" style="138" hidden="1"/>
    <col min="6924" max="6937" width="13.44140625" style="138" hidden="1"/>
    <col min="6938" max="6938" width="9.44140625" style="138" hidden="1"/>
    <col min="6939" max="7176" width="9.33203125" style="138" hidden="1"/>
    <col min="7177" max="7177" width="46" style="138" hidden="1"/>
    <col min="7178" max="7178" width="12.5546875" style="138" hidden="1"/>
    <col min="7179" max="7179" width="3.44140625" style="138" hidden="1"/>
    <col min="7180" max="7193" width="13.44140625" style="138" hidden="1"/>
    <col min="7194" max="7194" width="9.44140625" style="138" hidden="1"/>
    <col min="7195" max="7432" width="9.33203125" style="138" hidden="1"/>
    <col min="7433" max="7433" width="46" style="138" hidden="1"/>
    <col min="7434" max="7434" width="12.5546875" style="138" hidden="1"/>
    <col min="7435" max="7435" width="3.44140625" style="138" hidden="1"/>
    <col min="7436" max="7449" width="13.44140625" style="138" hidden="1"/>
    <col min="7450" max="7450" width="9.44140625" style="138" hidden="1"/>
    <col min="7451" max="7688" width="9.33203125" style="138" hidden="1"/>
    <col min="7689" max="7689" width="46" style="138" hidden="1"/>
    <col min="7690" max="7690" width="12.5546875" style="138" hidden="1"/>
    <col min="7691" max="7691" width="3.44140625" style="138" hidden="1"/>
    <col min="7692" max="7705" width="13.44140625" style="138" hidden="1"/>
    <col min="7706" max="7706" width="9.44140625" style="138" hidden="1"/>
    <col min="7707" max="7944" width="9.33203125" style="138" hidden="1"/>
    <col min="7945" max="7945" width="46" style="138" hidden="1"/>
    <col min="7946" max="7946" width="12.5546875" style="138" hidden="1"/>
    <col min="7947" max="7947" width="3.44140625" style="138" hidden="1"/>
    <col min="7948" max="7961" width="13.44140625" style="138" hidden="1"/>
    <col min="7962" max="7962" width="9.44140625" style="138" hidden="1"/>
    <col min="7963" max="8200" width="9.33203125" style="138" hidden="1"/>
    <col min="8201" max="8201" width="46" style="138" hidden="1"/>
    <col min="8202" max="8202" width="12.5546875" style="138" hidden="1"/>
    <col min="8203" max="8203" width="3.44140625" style="138" hidden="1"/>
    <col min="8204" max="8217" width="13.44140625" style="138" hidden="1"/>
    <col min="8218" max="8218" width="9.44140625" style="138" hidden="1"/>
    <col min="8219" max="8456" width="9.33203125" style="138" hidden="1"/>
    <col min="8457" max="8457" width="46" style="138" hidden="1"/>
    <col min="8458" max="8458" width="12.5546875" style="138" hidden="1"/>
    <col min="8459" max="8459" width="3.44140625" style="138" hidden="1"/>
    <col min="8460" max="8473" width="13.44140625" style="138" hidden="1"/>
    <col min="8474" max="8474" width="9.44140625" style="138" hidden="1"/>
    <col min="8475" max="8712" width="9.33203125" style="138" hidden="1"/>
    <col min="8713" max="8713" width="46" style="138" hidden="1"/>
    <col min="8714" max="8714" width="12.5546875" style="138" hidden="1"/>
    <col min="8715" max="8715" width="3.44140625" style="138" hidden="1"/>
    <col min="8716" max="8729" width="13.44140625" style="138" hidden="1"/>
    <col min="8730" max="8730" width="9.44140625" style="138" hidden="1"/>
    <col min="8731" max="8968" width="9.33203125" style="138" hidden="1"/>
    <col min="8969" max="8969" width="46" style="138" hidden="1"/>
    <col min="8970" max="8970" width="12.5546875" style="138" hidden="1"/>
    <col min="8971" max="8971" width="3.44140625" style="138" hidden="1"/>
    <col min="8972" max="8985" width="13.44140625" style="138" hidden="1"/>
    <col min="8986" max="8986" width="9.44140625" style="138" hidden="1"/>
    <col min="8987" max="9224" width="9.33203125" style="138" hidden="1"/>
    <col min="9225" max="9225" width="46" style="138" hidden="1"/>
    <col min="9226" max="9226" width="12.5546875" style="138" hidden="1"/>
    <col min="9227" max="9227" width="3.44140625" style="138" hidden="1"/>
    <col min="9228" max="9241" width="13.44140625" style="138" hidden="1"/>
    <col min="9242" max="9242" width="9.44140625" style="138" hidden="1"/>
    <col min="9243" max="9480" width="9.33203125" style="138" hidden="1"/>
    <col min="9481" max="9481" width="46" style="138" hidden="1"/>
    <col min="9482" max="9482" width="12.5546875" style="138" hidden="1"/>
    <col min="9483" max="9483" width="3.44140625" style="138" hidden="1"/>
    <col min="9484" max="9497" width="13.44140625" style="138" hidden="1"/>
    <col min="9498" max="9498" width="9.44140625" style="138" hidden="1"/>
    <col min="9499" max="9736" width="9.33203125" style="138" hidden="1"/>
    <col min="9737" max="9737" width="46" style="138" hidden="1"/>
    <col min="9738" max="9738" width="12.5546875" style="138" hidden="1"/>
    <col min="9739" max="9739" width="3.44140625" style="138" hidden="1"/>
    <col min="9740" max="9753" width="13.44140625" style="138" hidden="1"/>
    <col min="9754" max="9754" width="9.44140625" style="138" hidden="1"/>
    <col min="9755" max="9992" width="9.33203125" style="138" hidden="1"/>
    <col min="9993" max="9993" width="46" style="138" hidden="1"/>
    <col min="9994" max="9994" width="12.5546875" style="138" hidden="1"/>
    <col min="9995" max="9995" width="3.44140625" style="138" hidden="1"/>
    <col min="9996" max="10009" width="13.44140625" style="138" hidden="1"/>
    <col min="10010" max="10010" width="9.44140625" style="138" hidden="1"/>
    <col min="10011" max="10248" width="9.33203125" style="138" hidden="1"/>
    <col min="10249" max="10249" width="46" style="138" hidden="1"/>
    <col min="10250" max="10250" width="12.5546875" style="138" hidden="1"/>
    <col min="10251" max="10251" width="3.44140625" style="138" hidden="1"/>
    <col min="10252" max="10265" width="13.44140625" style="138" hidden="1"/>
    <col min="10266" max="10266" width="9.44140625" style="138" hidden="1"/>
    <col min="10267" max="10504" width="9.33203125" style="138" hidden="1"/>
    <col min="10505" max="10505" width="46" style="138" hidden="1"/>
    <col min="10506" max="10506" width="12.5546875" style="138" hidden="1"/>
    <col min="10507" max="10507" width="3.44140625" style="138" hidden="1"/>
    <col min="10508" max="10521" width="13.44140625" style="138" hidden="1"/>
    <col min="10522" max="10522" width="9.44140625" style="138" hidden="1"/>
    <col min="10523" max="10760" width="9.33203125" style="138" hidden="1"/>
    <col min="10761" max="10761" width="46" style="138" hidden="1"/>
    <col min="10762" max="10762" width="12.5546875" style="138" hidden="1"/>
    <col min="10763" max="10763" width="3.44140625" style="138" hidden="1"/>
    <col min="10764" max="10777" width="13.44140625" style="138" hidden="1"/>
    <col min="10778" max="10778" width="9.44140625" style="138" hidden="1"/>
    <col min="10779" max="11016" width="9.33203125" style="138" hidden="1"/>
    <col min="11017" max="11017" width="46" style="138" hidden="1"/>
    <col min="11018" max="11018" width="12.5546875" style="138" hidden="1"/>
    <col min="11019" max="11019" width="3.44140625" style="138" hidden="1"/>
    <col min="11020" max="11033" width="13.44140625" style="138" hidden="1"/>
    <col min="11034" max="11034" width="9.44140625" style="138" hidden="1"/>
    <col min="11035" max="11272" width="9.33203125" style="138" hidden="1"/>
    <col min="11273" max="11273" width="46" style="138" hidden="1"/>
    <col min="11274" max="11274" width="12.5546875" style="138" hidden="1"/>
    <col min="11275" max="11275" width="3.44140625" style="138" hidden="1"/>
    <col min="11276" max="11289" width="13.44140625" style="138" hidden="1"/>
    <col min="11290" max="11290" width="9.44140625" style="138" hidden="1"/>
    <col min="11291" max="11528" width="9.33203125" style="138" hidden="1"/>
    <col min="11529" max="11529" width="46" style="138" hidden="1"/>
    <col min="11530" max="11530" width="12.5546875" style="138" hidden="1"/>
    <col min="11531" max="11531" width="3.44140625" style="138" hidden="1"/>
    <col min="11532" max="11545" width="13.44140625" style="138" hidden="1"/>
    <col min="11546" max="11546" width="9.44140625" style="138" hidden="1"/>
    <col min="11547" max="11784" width="9.33203125" style="138" hidden="1"/>
    <col min="11785" max="11785" width="46" style="138" hidden="1"/>
    <col min="11786" max="11786" width="12.5546875" style="138" hidden="1"/>
    <col min="11787" max="11787" width="3.44140625" style="138" hidden="1"/>
    <col min="11788" max="11801" width="13.44140625" style="138" hidden="1"/>
    <col min="11802" max="11802" width="9.44140625" style="138" hidden="1"/>
    <col min="11803" max="12040" width="9.33203125" style="138" hidden="1"/>
    <col min="12041" max="12041" width="46" style="138" hidden="1"/>
    <col min="12042" max="12042" width="12.5546875" style="138" hidden="1"/>
    <col min="12043" max="12043" width="3.44140625" style="138" hidden="1"/>
    <col min="12044" max="12057" width="13.44140625" style="138" hidden="1"/>
    <col min="12058" max="12058" width="9.44140625" style="138" hidden="1"/>
    <col min="12059" max="12296" width="9.33203125" style="138" hidden="1"/>
    <col min="12297" max="12297" width="46" style="138" hidden="1"/>
    <col min="12298" max="12298" width="12.5546875" style="138" hidden="1"/>
    <col min="12299" max="12299" width="3.44140625" style="138" hidden="1"/>
    <col min="12300" max="12313" width="13.44140625" style="138" hidden="1"/>
    <col min="12314" max="12314" width="9.44140625" style="138" hidden="1"/>
    <col min="12315" max="12552" width="9.33203125" style="138" hidden="1"/>
    <col min="12553" max="12553" width="46" style="138" hidden="1"/>
    <col min="12554" max="12554" width="12.5546875" style="138" hidden="1"/>
    <col min="12555" max="12555" width="3.44140625" style="138" hidden="1"/>
    <col min="12556" max="12569" width="13.44140625" style="138" hidden="1"/>
    <col min="12570" max="12570" width="9.44140625" style="138" hidden="1"/>
    <col min="12571" max="12808" width="9.33203125" style="138" hidden="1"/>
    <col min="12809" max="12809" width="46" style="138" hidden="1"/>
    <col min="12810" max="12810" width="12.5546875" style="138" hidden="1"/>
    <col min="12811" max="12811" width="3.44140625" style="138" hidden="1"/>
    <col min="12812" max="12825" width="13.44140625" style="138" hidden="1"/>
    <col min="12826" max="12826" width="9.44140625" style="138" hidden="1"/>
    <col min="12827" max="13064" width="9.33203125" style="138" hidden="1"/>
    <col min="13065" max="13065" width="46" style="138" hidden="1"/>
    <col min="13066" max="13066" width="12.5546875" style="138" hidden="1"/>
    <col min="13067" max="13067" width="3.44140625" style="138" hidden="1"/>
    <col min="13068" max="13081" width="13.44140625" style="138" hidden="1"/>
    <col min="13082" max="13082" width="9.44140625" style="138" hidden="1"/>
    <col min="13083" max="13320" width="9.33203125" style="138" hidden="1"/>
    <col min="13321" max="13321" width="46" style="138" hidden="1"/>
    <col min="13322" max="13322" width="12.5546875" style="138" hidden="1"/>
    <col min="13323" max="13323" width="3.44140625" style="138" hidden="1"/>
    <col min="13324" max="13337" width="13.44140625" style="138" hidden="1"/>
    <col min="13338" max="13338" width="9.44140625" style="138" hidden="1"/>
    <col min="13339" max="13576" width="9.33203125" style="138" hidden="1"/>
    <col min="13577" max="13577" width="46" style="138" hidden="1"/>
    <col min="13578" max="13578" width="12.5546875" style="138" hidden="1"/>
    <col min="13579" max="13579" width="3.44140625" style="138" hidden="1"/>
    <col min="13580" max="13593" width="13.44140625" style="138" hidden="1"/>
    <col min="13594" max="13594" width="9.44140625" style="138" hidden="1"/>
    <col min="13595" max="13832" width="9.33203125" style="138" hidden="1"/>
    <col min="13833" max="13833" width="46" style="138" hidden="1"/>
    <col min="13834" max="13834" width="12.5546875" style="138" hidden="1"/>
    <col min="13835" max="13835" width="3.44140625" style="138" hidden="1"/>
    <col min="13836" max="13849" width="13.44140625" style="138" hidden="1"/>
    <col min="13850" max="13850" width="9.44140625" style="138" hidden="1"/>
    <col min="13851" max="14088" width="9.33203125" style="138" hidden="1"/>
    <col min="14089" max="14089" width="46" style="138" hidden="1"/>
    <col min="14090" max="14090" width="12.5546875" style="138" hidden="1"/>
    <col min="14091" max="14091" width="3.44140625" style="138" hidden="1"/>
    <col min="14092" max="14105" width="13.44140625" style="138" hidden="1"/>
    <col min="14106" max="14106" width="9.44140625" style="138" hidden="1"/>
    <col min="14107" max="14344" width="9.33203125" style="138" hidden="1"/>
    <col min="14345" max="14345" width="46" style="138" hidden="1"/>
    <col min="14346" max="14346" width="12.5546875" style="138" hidden="1"/>
    <col min="14347" max="14347" width="3.44140625" style="138" hidden="1"/>
    <col min="14348" max="14361" width="13.44140625" style="138" hidden="1"/>
    <col min="14362" max="14362" width="9.44140625" style="138" hidden="1"/>
    <col min="14363" max="14600" width="9.33203125" style="138" hidden="1"/>
    <col min="14601" max="14601" width="46" style="138" hidden="1"/>
    <col min="14602" max="14602" width="12.5546875" style="138" hidden="1"/>
    <col min="14603" max="14603" width="3.44140625" style="138" hidden="1"/>
    <col min="14604" max="14617" width="13.44140625" style="138" hidden="1"/>
    <col min="14618" max="14618" width="9.44140625" style="138" hidden="1"/>
    <col min="14619" max="14856" width="9.33203125" style="138" hidden="1"/>
    <col min="14857" max="14857" width="46" style="138" hidden="1"/>
    <col min="14858" max="14858" width="12.5546875" style="138" hidden="1"/>
    <col min="14859" max="14859" width="3.44140625" style="138" hidden="1"/>
    <col min="14860" max="14873" width="13.44140625" style="138" hidden="1"/>
    <col min="14874" max="14874" width="9.44140625" style="138" hidden="1"/>
    <col min="14875" max="15112" width="9.33203125" style="138" hidden="1"/>
    <col min="15113" max="15113" width="46" style="138" hidden="1"/>
    <col min="15114" max="15114" width="12.5546875" style="138" hidden="1"/>
    <col min="15115" max="15115" width="3.44140625" style="138" hidden="1"/>
    <col min="15116" max="15129" width="13.44140625" style="138" hidden="1"/>
    <col min="15130" max="15130" width="9.44140625" style="138" hidden="1"/>
    <col min="15131" max="15368" width="9.33203125" style="138" hidden="1"/>
    <col min="15369" max="15369" width="46" style="138" hidden="1"/>
    <col min="15370" max="15370" width="12.5546875" style="138" hidden="1"/>
    <col min="15371" max="15371" width="3.44140625" style="138" hidden="1"/>
    <col min="15372" max="15385" width="13.44140625" style="138" hidden="1"/>
    <col min="15386" max="15386" width="9.44140625" style="138" hidden="1"/>
    <col min="15387" max="15624" width="9.33203125" style="138" hidden="1"/>
    <col min="15625" max="15625" width="46" style="138" hidden="1"/>
    <col min="15626" max="15626" width="12.5546875" style="138" hidden="1"/>
    <col min="15627" max="15627" width="3.44140625" style="138" hidden="1"/>
    <col min="15628" max="15641" width="13.44140625" style="138" hidden="1"/>
    <col min="15642" max="15642" width="9.44140625" style="138" hidden="1"/>
    <col min="15643" max="15880" width="9.33203125" style="138" hidden="1"/>
    <col min="15881" max="15881" width="46" style="138" hidden="1"/>
    <col min="15882" max="15882" width="12.5546875" style="138" hidden="1"/>
    <col min="15883" max="15883" width="3.44140625" style="138" hidden="1"/>
    <col min="15884" max="15897" width="13.44140625" style="138" hidden="1"/>
    <col min="15898" max="15898" width="9.44140625" style="138" hidden="1"/>
    <col min="15899" max="16136" width="9.33203125" style="138" hidden="1"/>
    <col min="16137" max="16137" width="46" style="138" hidden="1"/>
    <col min="16138" max="16138" width="12.5546875" style="138" hidden="1"/>
    <col min="16139" max="16139" width="3.44140625" style="138" hidden="1"/>
    <col min="16140" max="16153" width="13.44140625" style="138" hidden="1"/>
    <col min="16154" max="16159" width="9.44140625" style="138" hidden="1"/>
    <col min="16160" max="16384" width="9.33203125" style="138" hidden="1"/>
  </cols>
  <sheetData>
    <row r="1" spans="1:25" ht="59.7" customHeight="1">
      <c r="A1" s="133" t="s">
        <v>534</v>
      </c>
      <c r="B1" s="134" t="s">
        <v>535</v>
      </c>
      <c r="C1" s="135"/>
      <c r="D1" s="136"/>
      <c r="E1" s="137" t="s">
        <v>37</v>
      </c>
      <c r="F1" s="137" t="s">
        <v>33</v>
      </c>
      <c r="G1" s="137" t="s">
        <v>34</v>
      </c>
      <c r="H1" s="137" t="s">
        <v>36</v>
      </c>
      <c r="I1" s="137" t="s">
        <v>40</v>
      </c>
      <c r="J1" s="137" t="s">
        <v>42</v>
      </c>
      <c r="K1" s="137" t="s">
        <v>43</v>
      </c>
      <c r="L1" s="137" t="s">
        <v>44</v>
      </c>
      <c r="M1" s="137" t="s">
        <v>45</v>
      </c>
      <c r="N1" s="137" t="s">
        <v>46</v>
      </c>
      <c r="O1" s="137" t="s">
        <v>50</v>
      </c>
      <c r="P1" s="137" t="s">
        <v>536</v>
      </c>
      <c r="Q1" s="137" t="s">
        <v>537</v>
      </c>
      <c r="R1" s="137" t="s">
        <v>538</v>
      </c>
      <c r="S1" s="137" t="s">
        <v>539</v>
      </c>
      <c r="T1" s="137" t="s">
        <v>540</v>
      </c>
      <c r="U1" s="137" t="s">
        <v>55</v>
      </c>
      <c r="V1" s="137" t="s">
        <v>541</v>
      </c>
      <c r="W1" s="137" t="s">
        <v>59</v>
      </c>
      <c r="X1" s="137" t="s">
        <v>61</v>
      </c>
      <c r="Y1" s="137" t="s">
        <v>60</v>
      </c>
    </row>
    <row r="2" spans="1:25" ht="12">
      <c r="A2" s="139"/>
      <c r="B2" s="140" t="s">
        <v>542</v>
      </c>
      <c r="C2" s="141">
        <f>SUM(E2:Y2)</f>
        <v>1.3613099999474798</v>
      </c>
      <c r="D2" s="142"/>
      <c r="E2" s="200">
        <f>SUM(E9:E60,-E6)</f>
        <v>0.49922999999853346</v>
      </c>
      <c r="F2" s="143">
        <f>SUM(F9:F60,-F6)</f>
        <v>1.2849999591708183E-2</v>
      </c>
      <c r="G2" s="143">
        <f t="shared" ref="G2:Y2" si="0">SUM(G9:G60,-G6)</f>
        <v>9.30000000007567E-2</v>
      </c>
      <c r="H2" s="143">
        <f t="shared" si="0"/>
        <v>-3.8200000144570367E-3</v>
      </c>
      <c r="I2" s="143">
        <f t="shared" si="0"/>
        <v>3.4949999998389103E-2</v>
      </c>
      <c r="J2" s="143">
        <f t="shared" si="0"/>
        <v>0</v>
      </c>
      <c r="K2" s="143">
        <f t="shared" si="0"/>
        <v>0</v>
      </c>
      <c r="L2" s="143">
        <f>SUM(L9:L60,-L6)</f>
        <v>0</v>
      </c>
      <c r="M2" s="143">
        <f>SUM(M9:M60,-M6)</f>
        <v>0</v>
      </c>
      <c r="N2" s="143">
        <f>SUM(C57:C58,N6)</f>
        <v>0</v>
      </c>
      <c r="O2" s="143">
        <f t="shared" si="0"/>
        <v>0</v>
      </c>
      <c r="P2" s="143">
        <f t="shared" si="0"/>
        <v>0</v>
      </c>
      <c r="Q2" s="143">
        <f t="shared" si="0"/>
        <v>0</v>
      </c>
      <c r="R2" s="143">
        <f t="shared" si="0"/>
        <v>3.9970000274479389E-2</v>
      </c>
      <c r="S2" s="143">
        <f t="shared" si="0"/>
        <v>0</v>
      </c>
      <c r="T2" s="143">
        <f t="shared" si="0"/>
        <v>2.4289999992106459E-2</v>
      </c>
      <c r="U2" s="200">
        <f t="shared" si="0"/>
        <v>0.11099999999714782</v>
      </c>
      <c r="V2" s="143">
        <f t="shared" si="0"/>
        <v>0.37171999999554828</v>
      </c>
      <c r="W2" s="143">
        <f t="shared" si="0"/>
        <v>1.9900000188499689E-3</v>
      </c>
      <c r="X2" s="143">
        <f t="shared" si="0"/>
        <v>-2.2659999958705157E-2</v>
      </c>
      <c r="Y2" s="200">
        <f t="shared" si="0"/>
        <v>0.19879000005312264</v>
      </c>
    </row>
    <row r="3" spans="1:25" ht="3" customHeight="1">
      <c r="A3" s="139"/>
      <c r="B3" s="140"/>
      <c r="C3" s="144"/>
      <c r="D3" s="142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5" ht="12">
      <c r="A4" s="139"/>
      <c r="B4" s="146" t="s">
        <v>480</v>
      </c>
      <c r="C4" s="147">
        <v>0</v>
      </c>
      <c r="D4" s="148"/>
      <c r="E4" s="149">
        <f>ОФП!D10</f>
        <v>48921</v>
      </c>
      <c r="F4" s="149">
        <f>ОФП!D7</f>
        <v>3399044</v>
      </c>
      <c r="G4" s="149">
        <f>ОФП!D8</f>
        <v>52019</v>
      </c>
      <c r="H4" s="149">
        <f>ОФП!D9</f>
        <v>383582</v>
      </c>
      <c r="I4" s="149">
        <f>ОФП!D13</f>
        <v>85614</v>
      </c>
      <c r="J4" s="149">
        <f>ОФП!D16</f>
        <v>3434739</v>
      </c>
      <c r="K4" s="149">
        <v>968000</v>
      </c>
      <c r="L4" s="149">
        <v>0</v>
      </c>
      <c r="M4" s="149">
        <f>ОФП!D19</f>
        <v>2396677</v>
      </c>
      <c r="N4" s="149">
        <f>ОФП!D20</f>
        <v>1310839</v>
      </c>
      <c r="O4" s="149">
        <f>-ОФП!D25</f>
        <v>-5500000</v>
      </c>
      <c r="P4" s="149">
        <v>0</v>
      </c>
      <c r="Q4" s="149">
        <v>0</v>
      </c>
      <c r="R4" s="149">
        <f>-ОФП!D26</f>
        <v>-3561788</v>
      </c>
      <c r="S4" s="149">
        <v>0</v>
      </c>
      <c r="T4" s="149">
        <f>-ОФП!D29-ОФП!D34</f>
        <v>-398677</v>
      </c>
      <c r="U4" s="149">
        <f>-ОФП!D30-ОФП!D35</f>
        <v>-54767</v>
      </c>
      <c r="V4" s="149">
        <f>-ОФП!D31</f>
        <v>-67940</v>
      </c>
      <c r="W4" s="149">
        <f>-ОФП!D36</f>
        <v>-691729</v>
      </c>
      <c r="X4" s="149">
        <f>-ОФП!D38</f>
        <v>-195507</v>
      </c>
      <c r="Y4" s="149">
        <f>-ОФП!D37</f>
        <v>-1609027</v>
      </c>
    </row>
    <row r="5" spans="1:25" ht="12">
      <c r="A5" s="139"/>
      <c r="B5" s="146" t="s">
        <v>493</v>
      </c>
      <c r="C5" s="150">
        <v>0</v>
      </c>
      <c r="D5" s="148"/>
      <c r="E5" s="151">
        <f>ОФП!C10</f>
        <v>56758.28961</v>
      </c>
      <c r="F5" s="151">
        <f>ОФП!C7</f>
        <v>3832096.2044899995</v>
      </c>
      <c r="G5" s="151">
        <f>ОФП!C8</f>
        <v>45596.985000000001</v>
      </c>
      <c r="H5" s="151">
        <f>ОФП!C9</f>
        <v>373817.99810999999</v>
      </c>
      <c r="I5" s="151">
        <f>ОФП!C13</f>
        <v>89814.347569999998</v>
      </c>
      <c r="J5" s="151">
        <f>ОФП!C16</f>
        <v>4191568.57436</v>
      </c>
      <c r="K5" s="151">
        <f>ОФП!C17</f>
        <v>1486389.98474</v>
      </c>
      <c r="L5" s="151">
        <f>ОФП!C18</f>
        <v>1566.57482</v>
      </c>
      <c r="M5" s="151">
        <f>ОФП!C19</f>
        <v>3786810.9912999999</v>
      </c>
      <c r="N5" s="151">
        <f>ОФП!C20</f>
        <v>995049.56668999989</v>
      </c>
      <c r="O5" s="151">
        <f>-ОФП!C25</f>
        <v>-5500000</v>
      </c>
      <c r="P5" s="151">
        <v>0</v>
      </c>
      <c r="Q5" s="151">
        <v>0</v>
      </c>
      <c r="R5" s="151">
        <f>-ОФП!C26</f>
        <v>-6327264.9698199993</v>
      </c>
      <c r="S5" s="151">
        <v>0</v>
      </c>
      <c r="T5" s="151">
        <f>-ОФП!C34-ОФП!C29</f>
        <v>-402036.17871000001</v>
      </c>
      <c r="U5" s="151">
        <f>-ОФП!C30-ОФП!C35</f>
        <v>-50384.618000000002</v>
      </c>
      <c r="V5" s="151">
        <f>-ОФП!C31</f>
        <v>-67939.628280000004</v>
      </c>
      <c r="W5" s="151">
        <f>-ОФП!C36</f>
        <v>-394755.29800999997</v>
      </c>
      <c r="X5" s="151">
        <f>-ОФП!C38</f>
        <v>-295447.02265999996</v>
      </c>
      <c r="Y5" s="151">
        <f>-ОФП!C37</f>
        <v>-1821641.8012099999</v>
      </c>
    </row>
    <row r="6" spans="1:25" ht="12">
      <c r="A6" s="139"/>
      <c r="B6" s="146" t="s">
        <v>543</v>
      </c>
      <c r="C6" s="152">
        <v>0</v>
      </c>
      <c r="D6" s="136"/>
      <c r="E6" s="151">
        <f>E4-E5</f>
        <v>-7837.2896099999998</v>
      </c>
      <c r="F6" s="151">
        <f t="shared" ref="F6:Y6" si="1">F4-F5</f>
        <v>-433052.20448999945</v>
      </c>
      <c r="G6" s="151">
        <f t="shared" si="1"/>
        <v>6422.0149999999994</v>
      </c>
      <c r="H6" s="151">
        <f t="shared" si="1"/>
        <v>9764.0018900000141</v>
      </c>
      <c r="I6" s="151">
        <f t="shared" si="1"/>
        <v>-4200.3475699999981</v>
      </c>
      <c r="J6" s="151">
        <f t="shared" si="1"/>
        <v>-756829.57435999997</v>
      </c>
      <c r="K6" s="151">
        <f t="shared" si="1"/>
        <v>-518389.98473999999</v>
      </c>
      <c r="L6" s="151">
        <f t="shared" si="1"/>
        <v>-1566.57482</v>
      </c>
      <c r="M6" s="151">
        <f>M4-M5</f>
        <v>-1390133.9912999999</v>
      </c>
      <c r="N6" s="151">
        <f>N4-N5</f>
        <v>315789.43331000011</v>
      </c>
      <c r="O6" s="151">
        <f t="shared" si="1"/>
        <v>0</v>
      </c>
      <c r="P6" s="151">
        <f t="shared" si="1"/>
        <v>0</v>
      </c>
      <c r="Q6" s="151">
        <f t="shared" si="1"/>
        <v>0</v>
      </c>
      <c r="R6" s="151">
        <f t="shared" si="1"/>
        <v>2765476.9698199993</v>
      </c>
      <c r="S6" s="151">
        <f t="shared" si="1"/>
        <v>0</v>
      </c>
      <c r="T6" s="151">
        <f t="shared" si="1"/>
        <v>3359.1787100000074</v>
      </c>
      <c r="U6" s="151">
        <f t="shared" si="1"/>
        <v>-4382.3819999999978</v>
      </c>
      <c r="V6" s="151">
        <f t="shared" si="1"/>
        <v>-0.37171999999554828</v>
      </c>
      <c r="W6" s="151">
        <f t="shared" si="1"/>
        <v>-296973.70199000003</v>
      </c>
      <c r="X6" s="151">
        <f t="shared" si="1"/>
        <v>99940.022659999959</v>
      </c>
      <c r="Y6" s="151">
        <f t="shared" si="1"/>
        <v>212614.80120999995</v>
      </c>
    </row>
    <row r="7" spans="1:25" ht="3" customHeight="1">
      <c r="A7" s="139"/>
      <c r="B7" s="140"/>
      <c r="C7" s="144"/>
      <c r="D7" s="142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</row>
    <row r="8" spans="1:25" ht="12">
      <c r="A8" s="139"/>
      <c r="B8" s="146" t="s">
        <v>96</v>
      </c>
      <c r="C8" s="154"/>
      <c r="D8" s="155"/>
      <c r="E8" s="156"/>
      <c r="W8" s="156"/>
      <c r="X8" s="156"/>
      <c r="Y8" s="156"/>
    </row>
    <row r="9" spans="1:25" ht="12">
      <c r="A9" s="139"/>
      <c r="B9" s="157" t="s">
        <v>544</v>
      </c>
      <c r="C9" s="158">
        <v>0</v>
      </c>
      <c r="D9" s="148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</row>
    <row r="10" spans="1:25" ht="12">
      <c r="A10" s="139"/>
      <c r="B10" s="157" t="s">
        <v>545</v>
      </c>
      <c r="C10" s="158">
        <v>0</v>
      </c>
      <c r="D10" s="148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</row>
    <row r="11" spans="1:25" ht="12">
      <c r="A11" s="139"/>
      <c r="B11" s="157" t="s">
        <v>546</v>
      </c>
      <c r="C11" s="158">
        <v>0</v>
      </c>
      <c r="D11" s="148"/>
      <c r="E11" s="159"/>
      <c r="F11" s="159">
        <v>0</v>
      </c>
      <c r="G11" s="159"/>
      <c r="H11" s="159"/>
      <c r="I11" s="159"/>
      <c r="J11" s="159"/>
      <c r="K11" s="159"/>
      <c r="L11" s="159"/>
      <c r="M11" s="159"/>
      <c r="N11" s="159"/>
      <c r="O11" s="159">
        <v>0</v>
      </c>
      <c r="P11" s="159"/>
      <c r="Q11" s="159"/>
      <c r="R11" s="159"/>
      <c r="S11" s="159"/>
      <c r="T11" s="159"/>
      <c r="U11" s="159"/>
      <c r="V11" s="159"/>
      <c r="W11" s="159"/>
      <c r="X11" s="159"/>
      <c r="Y11" s="159"/>
    </row>
    <row r="12" spans="1:25" ht="12">
      <c r="A12" s="139"/>
      <c r="B12" s="157" t="s">
        <v>546</v>
      </c>
      <c r="C12" s="158">
        <v>0</v>
      </c>
      <c r="D12" s="148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</row>
    <row r="13" spans="1:25" ht="12">
      <c r="A13" s="139"/>
      <c r="B13" s="157" t="s">
        <v>547</v>
      </c>
      <c r="C13" s="158">
        <v>0</v>
      </c>
      <c r="D13" s="148"/>
      <c r="E13" s="159"/>
      <c r="F13" s="159">
        <v>0</v>
      </c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>
        <v>0</v>
      </c>
      <c r="U13" s="159"/>
      <c r="V13" s="159"/>
      <c r="W13" s="159"/>
      <c r="X13" s="159"/>
      <c r="Y13" s="159"/>
    </row>
    <row r="14" spans="1:25" ht="12">
      <c r="A14" s="139"/>
      <c r="B14" s="157"/>
      <c r="C14" s="160"/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5" ht="12">
      <c r="A15" s="139"/>
      <c r="B15" s="136" t="s">
        <v>548</v>
      </c>
      <c r="C15" s="161"/>
      <c r="D15" s="136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 ht="12">
      <c r="A16" s="139"/>
      <c r="B16" s="162" t="s">
        <v>15</v>
      </c>
      <c r="C16" s="163">
        <f>SUM(E16:Y16)</f>
        <v>3559006.7097899998</v>
      </c>
      <c r="D16" s="148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70">
        <f>'ОДР и ПСД'!C17</f>
        <v>3559006.7097899998</v>
      </c>
      <c r="S16" s="159"/>
      <c r="T16" s="159"/>
      <c r="U16" s="159"/>
      <c r="V16" s="159"/>
      <c r="W16" s="159"/>
      <c r="X16" s="159"/>
      <c r="Y16" s="159"/>
    </row>
    <row r="17" spans="1:26" ht="12">
      <c r="A17" s="139"/>
      <c r="B17" s="162" t="s">
        <v>69</v>
      </c>
      <c r="C17" s="163">
        <f t="shared" ref="C17" si="2">SUM(E17:Y17)</f>
        <v>0</v>
      </c>
      <c r="D17" s="148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6" ht="12">
      <c r="A18" s="139"/>
      <c r="B18" s="162" t="s">
        <v>549</v>
      </c>
      <c r="C18" s="163">
        <f>SUM(E18:Y18)</f>
        <v>-16048.87076</v>
      </c>
      <c r="D18" s="148"/>
      <c r="E18" s="159"/>
      <c r="F18" s="159"/>
      <c r="G18" s="159"/>
      <c r="H18" s="159"/>
      <c r="I18" s="164"/>
      <c r="J18" s="159"/>
      <c r="K18" s="159"/>
      <c r="L18" s="159"/>
      <c r="M18" s="170">
        <f>-'ОДР и ПСД'!C14</f>
        <v>-16048.87076</v>
      </c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</row>
    <row r="19" spans="1:26" ht="12">
      <c r="A19" s="139"/>
      <c r="B19" s="162" t="s">
        <v>550</v>
      </c>
      <c r="C19" s="163">
        <f>SUM(E19:Y19)</f>
        <v>11647.331999999999</v>
      </c>
      <c r="D19" s="14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>
        <v>0</v>
      </c>
      <c r="T19" s="170">
        <f>'ОДР и ПСД'!G15</f>
        <v>8469.6029999999992</v>
      </c>
      <c r="U19" s="170">
        <f>'ОДР и ПСД'!F15</f>
        <v>3177.7289999999998</v>
      </c>
      <c r="V19" s="159"/>
      <c r="W19" s="159"/>
      <c r="X19" s="159"/>
      <c r="Y19" s="159"/>
      <c r="Z19" s="177"/>
    </row>
    <row r="20" spans="1:26" ht="12">
      <c r="A20" s="139"/>
      <c r="B20" s="162" t="s">
        <v>551</v>
      </c>
      <c r="C20" s="163">
        <f>SUM(E20:Y20)</f>
        <v>332228.44430000003</v>
      </c>
      <c r="D20" s="148"/>
      <c r="E20" s="165">
        <f>ОСВ!I72/1000</f>
        <v>7124.2920000000004</v>
      </c>
      <c r="F20" s="165">
        <f>(J118+J123+O112-ОСВ!V75)/1000</f>
        <v>308918.04623000004</v>
      </c>
      <c r="G20" s="165">
        <f>ОСВ!I69/1000</f>
        <v>6422.1080000000002</v>
      </c>
      <c r="H20" s="165">
        <f>ОСВ!V77/1000+50.4</f>
        <v>9763.9980699999996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</row>
    <row r="21" spans="1:26" ht="12">
      <c r="A21" s="139"/>
      <c r="B21" s="162" t="s">
        <v>8</v>
      </c>
      <c r="C21" s="163">
        <f t="shared" ref="C21:C34" si="3">SUM(E21:Y21)</f>
        <v>0</v>
      </c>
      <c r="D21" s="148"/>
      <c r="E21" s="164">
        <v>0</v>
      </c>
      <c r="F21" s="164">
        <v>0</v>
      </c>
      <c r="G21" s="164"/>
      <c r="H21" s="164">
        <v>0</v>
      </c>
      <c r="I21" s="164"/>
      <c r="J21" s="164">
        <v>0</v>
      </c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1:26" ht="12">
      <c r="A22" s="139"/>
      <c r="B22" s="162" t="s">
        <v>552</v>
      </c>
      <c r="C22" s="163">
        <f t="shared" si="3"/>
        <v>0</v>
      </c>
      <c r="D22" s="148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</row>
    <row r="23" spans="1:26" ht="12">
      <c r="A23" s="139"/>
      <c r="B23" s="162" t="s">
        <v>553</v>
      </c>
      <c r="C23" s="163">
        <f t="shared" si="3"/>
        <v>9640.3940899999998</v>
      </c>
      <c r="D23" s="148"/>
      <c r="E23" s="159">
        <v>0</v>
      </c>
      <c r="F23" s="159">
        <f>(ОСВ!G156-ОСВ!I143)/1000</f>
        <v>9640.3940899999998</v>
      </c>
      <c r="G23" s="159"/>
      <c r="H23" s="159">
        <v>0</v>
      </c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</row>
    <row r="24" spans="1:26" ht="12">
      <c r="A24" s="139"/>
      <c r="B24" s="162" t="s">
        <v>554</v>
      </c>
      <c r="C24" s="163">
        <f>SUM(E24:Y24)</f>
        <v>72427.887680000014</v>
      </c>
      <c r="D24" s="148"/>
      <c r="E24" s="159"/>
      <c r="F24" s="159"/>
      <c r="G24" s="159"/>
      <c r="H24" s="159"/>
      <c r="I24" s="159"/>
      <c r="J24" s="159"/>
      <c r="K24" s="159"/>
      <c r="L24" s="159"/>
      <c r="M24" s="159"/>
      <c r="N24" s="170">
        <f>ОДДС_К!F128</f>
        <v>72427.887680000014</v>
      </c>
      <c r="O24" s="159"/>
      <c r="P24" s="159"/>
      <c r="Q24" s="159"/>
      <c r="R24" s="159"/>
      <c r="S24" s="159">
        <v>0</v>
      </c>
      <c r="T24" s="159"/>
      <c r="U24" s="159"/>
      <c r="V24" s="159"/>
      <c r="W24" s="159"/>
      <c r="X24" s="159"/>
      <c r="Y24" s="159"/>
    </row>
    <row r="25" spans="1:26" ht="12">
      <c r="A25" s="139"/>
      <c r="B25" s="166" t="s">
        <v>73</v>
      </c>
      <c r="C25" s="167">
        <f>SUM(C16:C24)</f>
        <v>3968901.8971000002</v>
      </c>
      <c r="D25" s="136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</row>
    <row r="26" spans="1:26" ht="12">
      <c r="A26" s="139"/>
      <c r="B26" s="169" t="s">
        <v>555</v>
      </c>
      <c r="C26" s="163">
        <f t="shared" si="3"/>
        <v>-756829.57435999997</v>
      </c>
      <c r="D26" s="136"/>
      <c r="E26" s="159"/>
      <c r="F26" s="159"/>
      <c r="G26" s="159"/>
      <c r="H26" s="159"/>
      <c r="I26" s="159"/>
      <c r="J26" s="170">
        <f>-ОФП!C16+ОФП!D16</f>
        <v>-756829.57435999997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</row>
    <row r="27" spans="1:26" ht="12">
      <c r="A27" s="139"/>
      <c r="B27" s="169" t="s">
        <v>556</v>
      </c>
      <c r="C27" s="163">
        <f t="shared" si="3"/>
        <v>-518389.98473999999</v>
      </c>
      <c r="D27" s="136"/>
      <c r="E27" s="159"/>
      <c r="F27" s="159"/>
      <c r="G27" s="159"/>
      <c r="H27" s="159"/>
      <c r="I27" s="159"/>
      <c r="J27" s="159"/>
      <c r="K27" s="170">
        <f>-ОФП!C17+ОФП!D17</f>
        <v>-518389.98473999999</v>
      </c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</row>
    <row r="28" spans="1:26" ht="12">
      <c r="A28" s="139"/>
      <c r="B28" s="169" t="s">
        <v>557</v>
      </c>
      <c r="C28" s="163">
        <f>SUM(E28:Y28)</f>
        <v>-1390133.9912999999</v>
      </c>
      <c r="D28" s="136"/>
      <c r="E28" s="159"/>
      <c r="F28" s="159"/>
      <c r="G28" s="159"/>
      <c r="H28" s="159"/>
      <c r="I28" s="159"/>
      <c r="J28" s="159"/>
      <c r="K28" s="159"/>
      <c r="L28" s="159"/>
      <c r="M28" s="170">
        <f>-ОФП!C19+ОФП!D19</f>
        <v>-1390133.9912999999</v>
      </c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</row>
    <row r="29" spans="1:26" ht="12">
      <c r="A29" s="139"/>
      <c r="B29" s="169" t="s">
        <v>558</v>
      </c>
      <c r="C29" s="163">
        <f t="shared" si="3"/>
        <v>0</v>
      </c>
      <c r="D29" s="136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</row>
    <row r="30" spans="1:26" ht="12">
      <c r="A30" s="139"/>
      <c r="B30" s="169" t="s">
        <v>559</v>
      </c>
      <c r="C30" s="163">
        <f t="shared" si="3"/>
        <v>98373.425180000006</v>
      </c>
      <c r="D30" s="136"/>
      <c r="E30" s="159"/>
      <c r="F30" s="159"/>
      <c r="G30" s="159"/>
      <c r="H30" s="159"/>
      <c r="I30" s="159"/>
      <c r="J30" s="159"/>
      <c r="K30" s="159"/>
      <c r="L30" s="170">
        <f>-ОФП!C18</f>
        <v>-1566.57482</v>
      </c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70">
        <v>99940</v>
      </c>
      <c r="Y30" s="159"/>
    </row>
    <row r="31" spans="1:26" ht="12">
      <c r="A31" s="139"/>
      <c r="B31" s="169" t="s">
        <v>560</v>
      </c>
      <c r="C31" s="163">
        <f t="shared" si="3"/>
        <v>212615</v>
      </c>
      <c r="D31" s="136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70">
        <v>212615</v>
      </c>
    </row>
    <row r="32" spans="1:26" ht="12">
      <c r="A32" s="139"/>
      <c r="B32" s="166" t="s">
        <v>561</v>
      </c>
      <c r="C32" s="167">
        <f>SUM(C25:C31)</f>
        <v>1614536.7718800006</v>
      </c>
      <c r="D32" s="136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</row>
    <row r="33" spans="1:26" ht="12">
      <c r="A33" s="139"/>
      <c r="B33" s="169" t="s">
        <v>79</v>
      </c>
      <c r="C33" s="163">
        <f>SUM(E33:Y33)</f>
        <v>16048.87076</v>
      </c>
      <c r="D33" s="148"/>
      <c r="E33" s="159"/>
      <c r="F33" s="159"/>
      <c r="G33" s="159"/>
      <c r="H33" s="159"/>
      <c r="I33" s="159"/>
      <c r="J33" s="159"/>
      <c r="K33" s="159"/>
      <c r="L33" s="159"/>
      <c r="M33" s="170">
        <f>V90/1000</f>
        <v>16048.87076</v>
      </c>
      <c r="N33" s="159"/>
      <c r="O33" s="159"/>
      <c r="P33" s="159"/>
      <c r="Q33" s="159"/>
      <c r="R33" s="159"/>
      <c r="S33" s="159">
        <v>0</v>
      </c>
      <c r="T33" s="159"/>
      <c r="U33" s="159"/>
      <c r="V33" s="159"/>
      <c r="W33" s="159"/>
      <c r="X33" s="159"/>
      <c r="Y33" s="159"/>
    </row>
    <row r="34" spans="1:26" ht="12">
      <c r="A34" s="139"/>
      <c r="B34" s="169" t="s">
        <v>80</v>
      </c>
      <c r="C34" s="163">
        <f t="shared" si="3"/>
        <v>-1090503.3999999999</v>
      </c>
      <c r="D34" s="148"/>
      <c r="E34" s="159"/>
      <c r="F34" s="159"/>
      <c r="G34" s="159"/>
      <c r="H34" s="159"/>
      <c r="I34" s="159"/>
      <c r="J34" s="159"/>
      <c r="K34" s="159"/>
      <c r="L34" s="159">
        <v>0</v>
      </c>
      <c r="M34" s="159"/>
      <c r="N34" s="159"/>
      <c r="O34" s="159"/>
      <c r="P34" s="159"/>
      <c r="Q34" s="159"/>
      <c r="R34" s="170">
        <v>-793529.7</v>
      </c>
      <c r="S34" s="159"/>
      <c r="T34" s="159"/>
      <c r="U34" s="159"/>
      <c r="V34" s="159"/>
      <c r="W34" s="170">
        <v>-296973.7</v>
      </c>
      <c r="X34" s="159"/>
      <c r="Y34" s="159"/>
      <c r="Z34" s="171"/>
    </row>
    <row r="35" spans="1:26" ht="12">
      <c r="A35" s="139"/>
      <c r="B35" s="172" t="s">
        <v>562</v>
      </c>
      <c r="C35" s="167">
        <f>SUM(C32:C34)</f>
        <v>540082.24264000077</v>
      </c>
      <c r="D35" s="136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</row>
    <row r="36" spans="1:26" ht="12">
      <c r="A36" s="139"/>
      <c r="B36" s="166"/>
      <c r="C36" s="163"/>
      <c r="D36" s="136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</row>
    <row r="37" spans="1:26" ht="12">
      <c r="A37" s="139"/>
      <c r="B37" s="172" t="s">
        <v>563</v>
      </c>
      <c r="C37" s="161"/>
      <c r="D37" s="136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</row>
    <row r="38" spans="1:26" ht="12">
      <c r="A38" s="139"/>
      <c r="B38" s="169" t="s">
        <v>83</v>
      </c>
      <c r="C38" s="163">
        <f>SUM(E38:Y38)</f>
        <v>-751610.63195999991</v>
      </c>
      <c r="D38" s="148"/>
      <c r="E38" s="159"/>
      <c r="F38" s="170">
        <f>(-I94-I92-N92-I82)/1000+25562.2</f>
        <v>-751610.63195999991</v>
      </c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</row>
    <row r="39" spans="1:26" ht="12">
      <c r="A39" s="139"/>
      <c r="B39" s="169" t="s">
        <v>564</v>
      </c>
      <c r="C39" s="163">
        <f t="shared" ref="C39:C47" si="4">SUM(E39:Y39)</f>
        <v>0</v>
      </c>
      <c r="D39" s="14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</row>
    <row r="40" spans="1:26" ht="12">
      <c r="A40" s="139"/>
      <c r="B40" s="169" t="s">
        <v>84</v>
      </c>
      <c r="C40" s="163">
        <f t="shared" si="4"/>
        <v>-14961.082380000002</v>
      </c>
      <c r="D40" s="148"/>
      <c r="E40" s="170">
        <f>-ОСВ!G71/1000</f>
        <v>-14961.082380000002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1:26" ht="12">
      <c r="A41" s="139"/>
      <c r="B41" s="169" t="s">
        <v>565</v>
      </c>
      <c r="C41" s="163">
        <f t="shared" si="4"/>
        <v>0</v>
      </c>
      <c r="D41" s="14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</row>
    <row r="42" spans="1:26" ht="12">
      <c r="A42" s="139"/>
      <c r="B42" s="169" t="s">
        <v>86</v>
      </c>
      <c r="C42" s="163">
        <f t="shared" si="4"/>
        <v>-5110.3999999999996</v>
      </c>
      <c r="D42" s="148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70">
        <v>-5110.3999999999996</v>
      </c>
      <c r="U42" s="159"/>
      <c r="V42" s="159"/>
      <c r="W42" s="159"/>
      <c r="X42" s="159"/>
      <c r="Y42" s="159"/>
    </row>
    <row r="43" spans="1:26" ht="12">
      <c r="A43" s="139"/>
      <c r="B43" s="169" t="s">
        <v>566</v>
      </c>
      <c r="C43" s="163">
        <f t="shared" si="4"/>
        <v>0</v>
      </c>
      <c r="D43" s="148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</row>
    <row r="44" spans="1:26" ht="12">
      <c r="A44" s="139"/>
      <c r="B44" s="169" t="s">
        <v>567</v>
      </c>
      <c r="C44" s="163">
        <f t="shared" si="4"/>
        <v>-4200.3126199999997</v>
      </c>
      <c r="D44" s="148"/>
      <c r="E44" s="159"/>
      <c r="F44" s="159"/>
      <c r="G44" s="159"/>
      <c r="H44" s="159"/>
      <c r="I44" s="170">
        <f>-4200312.62/1000</f>
        <v>-4200.3126199999997</v>
      </c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</row>
    <row r="45" spans="1:26" ht="12">
      <c r="A45" s="139"/>
      <c r="B45" s="169" t="s">
        <v>568</v>
      </c>
      <c r="C45" s="163">
        <f t="shared" si="4"/>
        <v>0</v>
      </c>
      <c r="D45" s="148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</row>
    <row r="46" spans="1:26" ht="12">
      <c r="A46" s="139"/>
      <c r="B46" s="169" t="s">
        <v>569</v>
      </c>
      <c r="C46" s="163">
        <f t="shared" si="4"/>
        <v>0</v>
      </c>
      <c r="D46" s="14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</row>
    <row r="47" spans="1:26" ht="12">
      <c r="A47" s="139"/>
      <c r="B47" s="169" t="s">
        <v>79</v>
      </c>
      <c r="C47" s="163">
        <f t="shared" si="4"/>
        <v>0</v>
      </c>
      <c r="D47" s="148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</row>
    <row r="48" spans="1:26" ht="12">
      <c r="A48" s="139"/>
      <c r="B48" s="172" t="s">
        <v>570</v>
      </c>
      <c r="C48" s="167">
        <f>SUM(C38:C47)</f>
        <v>-775882.42695999995</v>
      </c>
      <c r="D48" s="136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</row>
    <row r="49" spans="1:25" ht="12">
      <c r="A49" s="139"/>
      <c r="B49" s="172"/>
      <c r="C49" s="161"/>
      <c r="D49" s="136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</row>
    <row r="50" spans="1:25" ht="12">
      <c r="A50" s="139"/>
      <c r="B50" s="172" t="s">
        <v>571</v>
      </c>
      <c r="C50" s="161"/>
      <c r="D50" s="136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</row>
    <row r="51" spans="1:25" ht="12">
      <c r="A51" s="139"/>
      <c r="B51" s="169" t="s">
        <v>572</v>
      </c>
      <c r="C51" s="163">
        <f t="shared" ref="C51:C55" si="5">SUM(E51:Y51)</f>
        <v>0</v>
      </c>
      <c r="D51" s="148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>
        <v>0</v>
      </c>
      <c r="P51" s="159"/>
      <c r="Q51" s="159"/>
      <c r="R51" s="159"/>
      <c r="S51" s="159"/>
      <c r="T51" s="159"/>
      <c r="U51" s="159"/>
      <c r="V51" s="159"/>
      <c r="W51" s="159"/>
      <c r="X51" s="159"/>
      <c r="Y51" s="159"/>
    </row>
    <row r="52" spans="1:25" ht="12">
      <c r="A52" s="139"/>
      <c r="B52" s="169" t="s">
        <v>573</v>
      </c>
      <c r="C52" s="163">
        <f t="shared" si="5"/>
        <v>0</v>
      </c>
      <c r="D52" s="148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>
        <v>0</v>
      </c>
      <c r="T52" s="159"/>
      <c r="U52" s="159"/>
      <c r="V52" s="159"/>
      <c r="W52" s="159"/>
      <c r="X52" s="159"/>
      <c r="Y52" s="159"/>
    </row>
    <row r="53" spans="1:25" ht="12">
      <c r="A53" s="139"/>
      <c r="B53" s="169" t="s">
        <v>574</v>
      </c>
      <c r="C53" s="163">
        <f t="shared" si="5"/>
        <v>0</v>
      </c>
      <c r="D53" s="148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>
        <v>0</v>
      </c>
      <c r="T53" s="159"/>
      <c r="U53" s="159"/>
      <c r="V53" s="159"/>
      <c r="W53" s="159"/>
      <c r="X53" s="159"/>
      <c r="Y53" s="159"/>
    </row>
    <row r="54" spans="1:25" ht="12">
      <c r="A54" s="139"/>
      <c r="B54" s="169" t="s">
        <v>90</v>
      </c>
      <c r="C54" s="163">
        <f t="shared" si="5"/>
        <v>-7560</v>
      </c>
      <c r="D54" s="148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6"/>
      <c r="P54" s="159"/>
      <c r="Q54" s="159"/>
      <c r="R54" s="159"/>
      <c r="S54" s="159"/>
      <c r="T54" s="159"/>
      <c r="U54" s="170">
        <v>-7560</v>
      </c>
      <c r="V54" s="159"/>
      <c r="W54" s="159"/>
      <c r="X54" s="159"/>
      <c r="Y54" s="159"/>
    </row>
    <row r="55" spans="1:25" ht="12">
      <c r="A55" s="139"/>
      <c r="B55" s="169" t="s">
        <v>575</v>
      </c>
      <c r="C55" s="163">
        <f t="shared" si="5"/>
        <v>0</v>
      </c>
      <c r="D55" s="148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P55" s="159"/>
      <c r="Q55" s="159"/>
      <c r="R55" s="159">
        <v>0</v>
      </c>
      <c r="S55" s="159"/>
      <c r="T55" s="159"/>
      <c r="U55" s="159"/>
      <c r="V55" s="159"/>
      <c r="W55" s="159"/>
      <c r="X55" s="159"/>
      <c r="Y55" s="159"/>
    </row>
    <row r="56" spans="1:25" ht="12">
      <c r="A56" s="139"/>
      <c r="B56" s="172" t="s">
        <v>576</v>
      </c>
      <c r="C56" s="167">
        <f>SUM(C51:C55)</f>
        <v>-7560</v>
      </c>
      <c r="D56" s="136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</row>
    <row r="57" spans="1:25" ht="12">
      <c r="A57" s="139"/>
      <c r="B57" s="169" t="s">
        <v>577</v>
      </c>
      <c r="C57" s="239">
        <f>C60-C58-C59</f>
        <v>-243361.74631000008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</row>
    <row r="58" spans="1:25">
      <c r="A58" s="139"/>
      <c r="B58" s="138" t="s">
        <v>93</v>
      </c>
      <c r="C58" s="240">
        <f>N58</f>
        <v>-72427.687000000005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70">
        <v>-72427.687000000005</v>
      </c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</row>
    <row r="59" spans="1:25">
      <c r="A59" s="139"/>
      <c r="B59" s="169" t="s">
        <v>578</v>
      </c>
      <c r="C59" s="240">
        <v>1310839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</row>
    <row r="60" spans="1:25" ht="12">
      <c r="A60" s="139"/>
      <c r="B60" s="172" t="s">
        <v>579</v>
      </c>
      <c r="C60" s="241">
        <f>ОФП!C20</f>
        <v>995049.56668999989</v>
      </c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</row>
    <row r="61" spans="1:25" ht="12">
      <c r="B61" s="172"/>
    </row>
    <row r="62" spans="1:25">
      <c r="B62" s="174" t="s">
        <v>580</v>
      </c>
      <c r="C62" s="175">
        <f>2036183+441005-23565</f>
        <v>2453623</v>
      </c>
      <c r="H62" s="138" t="s">
        <v>581</v>
      </c>
    </row>
    <row r="63" spans="1:25">
      <c r="B63" s="174" t="s">
        <v>582</v>
      </c>
      <c r="C63" s="163">
        <f>-195470.84786+2239.45976-3611.57915+130.19</f>
        <v>-196712.77725000001</v>
      </c>
      <c r="H63" s="138" t="s">
        <v>583</v>
      </c>
    </row>
    <row r="64" spans="1:25">
      <c r="B64" s="174" t="s">
        <v>584</v>
      </c>
      <c r="C64" s="163">
        <f>-483542+202877-44386+236</f>
        <v>-324815</v>
      </c>
      <c r="H64" s="138" t="s">
        <v>585</v>
      </c>
    </row>
    <row r="65" spans="2:24">
      <c r="B65" s="174" t="s">
        <v>586</v>
      </c>
      <c r="C65" s="176">
        <f>-1483933+45-296111+1927</f>
        <v>-1778072</v>
      </c>
      <c r="H65" s="138" t="s">
        <v>587</v>
      </c>
    </row>
    <row r="70" spans="2:24" ht="13.2">
      <c r="G70" s="302" t="s">
        <v>266</v>
      </c>
      <c r="H70" s="302"/>
      <c r="I70" s="302"/>
      <c r="J70" s="302"/>
      <c r="L70" s="302" t="s">
        <v>266</v>
      </c>
      <c r="M70" s="302"/>
      <c r="N70" s="302"/>
      <c r="O70" s="302"/>
      <c r="T70" s="303" t="s">
        <v>266</v>
      </c>
      <c r="U70" s="303"/>
      <c r="V70" s="303"/>
      <c r="W70" s="303"/>
      <c r="X70" s="303"/>
    </row>
    <row r="71" spans="2:24" ht="15.6">
      <c r="G71" s="305" t="s">
        <v>636</v>
      </c>
      <c r="H71" s="305"/>
      <c r="I71" s="305"/>
      <c r="J71" s="305"/>
      <c r="K71" s="305"/>
      <c r="L71" s="301" t="s">
        <v>637</v>
      </c>
      <c r="M71" s="301"/>
      <c r="N71" s="301"/>
      <c r="O71" s="301"/>
      <c r="P71" s="301"/>
      <c r="Q71" s="301"/>
      <c r="R71" s="301"/>
      <c r="T71" s="304" t="s">
        <v>645</v>
      </c>
      <c r="U71" s="304"/>
      <c r="V71" s="304"/>
      <c r="W71" s="304"/>
      <c r="X71" s="304"/>
    </row>
    <row r="72" spans="2:24">
      <c r="G72" s="201"/>
      <c r="H72" s="201"/>
      <c r="I72" s="201"/>
      <c r="J72" s="201"/>
      <c r="L72" s="201"/>
      <c r="M72" s="201"/>
      <c r="N72" s="201"/>
      <c r="O72" s="201"/>
      <c r="T72" s="220"/>
      <c r="U72" s="220"/>
      <c r="V72" s="220"/>
      <c r="W72" s="220"/>
    </row>
    <row r="73" spans="2:24" ht="30.6">
      <c r="G73" s="202" t="s">
        <v>268</v>
      </c>
      <c r="H73" s="202" t="s">
        <v>269</v>
      </c>
      <c r="I73" s="201"/>
      <c r="J73" s="201"/>
      <c r="L73" s="202" t="s">
        <v>268</v>
      </c>
      <c r="M73" s="202" t="s">
        <v>269</v>
      </c>
      <c r="N73" s="201"/>
      <c r="O73" s="201"/>
      <c r="T73" s="221" t="s">
        <v>268</v>
      </c>
      <c r="U73" s="221" t="s">
        <v>269</v>
      </c>
      <c r="V73" s="220"/>
      <c r="W73" s="220"/>
    </row>
    <row r="74" spans="2:24">
      <c r="G74" s="201"/>
      <c r="H74" s="201"/>
      <c r="I74" s="201"/>
      <c r="J74" s="201"/>
      <c r="L74" s="201"/>
      <c r="M74" s="201"/>
      <c r="N74" s="201"/>
      <c r="O74" s="201"/>
      <c r="T74" s="220"/>
      <c r="U74" s="220"/>
      <c r="V74" s="220"/>
      <c r="W74" s="220"/>
    </row>
    <row r="75" spans="2:24">
      <c r="G75" s="201"/>
      <c r="H75" s="201"/>
      <c r="I75" s="201"/>
      <c r="J75" s="201"/>
      <c r="L75" s="201"/>
      <c r="M75" s="201"/>
      <c r="N75" s="201"/>
      <c r="O75" s="201"/>
      <c r="T75" s="220"/>
      <c r="U75" s="220"/>
      <c r="V75" s="220"/>
      <c r="W75" s="220"/>
    </row>
    <row r="76" spans="2:24" ht="13.2">
      <c r="G76" s="203" t="s">
        <v>270</v>
      </c>
      <c r="H76" s="203" t="s">
        <v>271</v>
      </c>
      <c r="I76" s="201"/>
      <c r="J76" s="201"/>
      <c r="L76" s="203" t="s">
        <v>270</v>
      </c>
      <c r="M76" s="203" t="s">
        <v>271</v>
      </c>
      <c r="N76" s="201"/>
      <c r="O76" s="201"/>
      <c r="T76" s="222" t="s">
        <v>270</v>
      </c>
      <c r="U76" s="222" t="s">
        <v>271</v>
      </c>
      <c r="V76" s="220"/>
      <c r="W76" s="220"/>
    </row>
    <row r="77" spans="2:24">
      <c r="G77" s="201"/>
      <c r="H77" s="201"/>
      <c r="I77" s="201"/>
      <c r="J77" s="201"/>
      <c r="L77" s="201"/>
      <c r="M77" s="201"/>
      <c r="N77" s="201"/>
      <c r="O77" s="201"/>
      <c r="T77" s="220"/>
      <c r="U77" s="220"/>
      <c r="V77" s="220"/>
      <c r="W77" s="220"/>
    </row>
    <row r="78" spans="2:24" ht="39.6">
      <c r="G78" s="204" t="s">
        <v>272</v>
      </c>
      <c r="H78" s="204" t="s">
        <v>479</v>
      </c>
      <c r="I78" s="204" t="s">
        <v>276</v>
      </c>
      <c r="J78" s="204" t="s">
        <v>277</v>
      </c>
      <c r="L78" s="204" t="s">
        <v>272</v>
      </c>
      <c r="M78" s="204" t="s">
        <v>479</v>
      </c>
      <c r="N78" s="204" t="s">
        <v>276</v>
      </c>
      <c r="O78" s="204" t="s">
        <v>277</v>
      </c>
      <c r="T78" s="223" t="s">
        <v>272</v>
      </c>
      <c r="U78" s="223" t="s">
        <v>479</v>
      </c>
      <c r="V78" s="223" t="s">
        <v>276</v>
      </c>
      <c r="W78" s="223" t="s">
        <v>277</v>
      </c>
    </row>
    <row r="79" spans="2:24" ht="61.2">
      <c r="G79" s="205" t="s">
        <v>330</v>
      </c>
      <c r="H79" s="205" t="s">
        <v>480</v>
      </c>
      <c r="I79" s="206">
        <v>92991714.629999995</v>
      </c>
      <c r="J79" s="207"/>
      <c r="L79" s="205" t="s">
        <v>343</v>
      </c>
      <c r="M79" s="205" t="s">
        <v>480</v>
      </c>
      <c r="N79" s="206">
        <v>321632284.64999998</v>
      </c>
      <c r="O79" s="207"/>
      <c r="T79" s="224" t="s">
        <v>408</v>
      </c>
      <c r="U79" s="224" t="s">
        <v>480</v>
      </c>
      <c r="V79" s="225"/>
      <c r="W79" s="225"/>
    </row>
    <row r="80" spans="2:24">
      <c r="G80" s="208"/>
      <c r="H80" s="209" t="s">
        <v>481</v>
      </c>
      <c r="I80" s="210">
        <v>87817197.150000006</v>
      </c>
      <c r="J80" s="211"/>
      <c r="L80" s="208"/>
      <c r="M80" s="209" t="s">
        <v>442</v>
      </c>
      <c r="N80" s="210">
        <v>403686610.01999998</v>
      </c>
      <c r="O80" s="210">
        <v>1346916167.7299998</v>
      </c>
      <c r="T80" s="226"/>
      <c r="U80" s="227" t="s">
        <v>481</v>
      </c>
      <c r="V80" s="228"/>
      <c r="W80" s="229">
        <v>11848558.140000001</v>
      </c>
    </row>
    <row r="81" spans="7:23">
      <c r="G81" s="208"/>
      <c r="H81" s="212" t="s">
        <v>500</v>
      </c>
      <c r="I81" s="210">
        <v>87817197.150000006</v>
      </c>
      <c r="J81" s="211"/>
      <c r="L81" s="208"/>
      <c r="M81" s="212" t="s">
        <v>443</v>
      </c>
      <c r="N81" s="211"/>
      <c r="O81" s="210">
        <v>943229557.71000004</v>
      </c>
      <c r="T81" s="226"/>
      <c r="U81" s="230" t="s">
        <v>485</v>
      </c>
      <c r="V81" s="228"/>
      <c r="W81" s="229">
        <v>11848558.140000001</v>
      </c>
    </row>
    <row r="82" spans="7:23">
      <c r="G82" s="208"/>
      <c r="H82" s="213" t="s">
        <v>501</v>
      </c>
      <c r="I82" s="210">
        <v>87817197.150000006</v>
      </c>
      <c r="J82" s="211"/>
      <c r="L82" s="208"/>
      <c r="M82" s="213" t="s">
        <v>444</v>
      </c>
      <c r="N82" s="211"/>
      <c r="O82" s="210">
        <v>943229557.71000004</v>
      </c>
      <c r="T82" s="226"/>
      <c r="U82" s="231" t="s">
        <v>487</v>
      </c>
      <c r="V82" s="228"/>
      <c r="W82" s="229">
        <v>11848558.140000001</v>
      </c>
    </row>
    <row r="83" spans="7:23">
      <c r="G83" s="208"/>
      <c r="H83" s="209" t="s">
        <v>442</v>
      </c>
      <c r="I83" s="210">
        <v>532372779.74000001</v>
      </c>
      <c r="J83" s="210">
        <v>584229163.92999995</v>
      </c>
      <c r="L83" s="208"/>
      <c r="M83" s="214" t="s">
        <v>638</v>
      </c>
      <c r="N83" s="211"/>
      <c r="O83" s="210">
        <v>532372779.74000001</v>
      </c>
      <c r="T83" s="226"/>
      <c r="U83" s="232" t="s">
        <v>488</v>
      </c>
      <c r="V83" s="228"/>
      <c r="W83" s="229">
        <v>11848558.140000001</v>
      </c>
    </row>
    <row r="84" spans="7:23">
      <c r="G84" s="208"/>
      <c r="H84" s="212" t="s">
        <v>443</v>
      </c>
      <c r="I84" s="211"/>
      <c r="J84" s="210">
        <v>584229163.92999995</v>
      </c>
      <c r="L84" s="208"/>
      <c r="M84" s="214" t="s">
        <v>445</v>
      </c>
      <c r="N84" s="211"/>
      <c r="O84" s="210">
        <v>410856777.97000003</v>
      </c>
      <c r="T84" s="226"/>
      <c r="U84" s="227" t="s">
        <v>442</v>
      </c>
      <c r="V84" s="228"/>
      <c r="W84" s="229">
        <v>4200312.62</v>
      </c>
    </row>
    <row r="85" spans="7:23">
      <c r="G85" s="208"/>
      <c r="H85" s="213" t="s">
        <v>444</v>
      </c>
      <c r="I85" s="211"/>
      <c r="J85" s="210">
        <v>584229163.92999995</v>
      </c>
      <c r="L85" s="208"/>
      <c r="M85" s="212" t="s">
        <v>506</v>
      </c>
      <c r="N85" s="210">
        <v>403686610.01999998</v>
      </c>
      <c r="O85" s="210">
        <v>403686610.01999998</v>
      </c>
      <c r="T85" s="226"/>
      <c r="U85" s="230" t="s">
        <v>646</v>
      </c>
      <c r="V85" s="228"/>
      <c r="W85" s="229">
        <v>4200312.62</v>
      </c>
    </row>
    <row r="86" spans="7:23">
      <c r="G86" s="208"/>
      <c r="H86" s="214" t="s">
        <v>445</v>
      </c>
      <c r="I86" s="211"/>
      <c r="J86" s="210">
        <v>584229163.92999995</v>
      </c>
      <c r="L86" s="208"/>
      <c r="M86" s="213" t="s">
        <v>507</v>
      </c>
      <c r="N86" s="210">
        <v>403686610.01999998</v>
      </c>
      <c r="O86" s="210">
        <v>403686610.01999998</v>
      </c>
      <c r="T86" s="226"/>
      <c r="U86" s="231" t="s">
        <v>647</v>
      </c>
      <c r="V86" s="228"/>
      <c r="W86" s="229">
        <v>4200312.62</v>
      </c>
    </row>
    <row r="87" spans="7:23">
      <c r="G87" s="208"/>
      <c r="H87" s="212" t="s">
        <v>506</v>
      </c>
      <c r="I87" s="210">
        <v>532372779.74000001</v>
      </c>
      <c r="J87" s="211"/>
      <c r="L87" s="208"/>
      <c r="M87" s="214" t="s">
        <v>639</v>
      </c>
      <c r="N87" s="210">
        <v>334771910.01999998</v>
      </c>
      <c r="O87" s="210">
        <v>3700000</v>
      </c>
      <c r="T87" s="226"/>
      <c r="U87" s="232" t="s">
        <v>648</v>
      </c>
      <c r="V87" s="228"/>
      <c r="W87" s="229">
        <v>4200312.62</v>
      </c>
    </row>
    <row r="88" spans="7:23">
      <c r="G88" s="208"/>
      <c r="H88" s="213" t="s">
        <v>507</v>
      </c>
      <c r="I88" s="210">
        <v>532372779.74000001</v>
      </c>
      <c r="J88" s="211"/>
      <c r="L88" s="208"/>
      <c r="M88" s="214" t="s">
        <v>508</v>
      </c>
      <c r="N88" s="210">
        <v>68914700</v>
      </c>
      <c r="O88" s="211"/>
      <c r="T88" s="226"/>
      <c r="U88" s="227" t="s">
        <v>489</v>
      </c>
      <c r="V88" s="229">
        <v>16048870.76</v>
      </c>
      <c r="W88" s="228"/>
    </row>
    <row r="89" spans="7:23">
      <c r="G89" s="208"/>
      <c r="H89" s="214" t="s">
        <v>508</v>
      </c>
      <c r="I89" s="210">
        <v>532372779.74000001</v>
      </c>
      <c r="J89" s="211"/>
      <c r="L89" s="208"/>
      <c r="M89" s="214" t="s">
        <v>640</v>
      </c>
      <c r="N89" s="211"/>
      <c r="O89" s="210">
        <v>399986610.01999998</v>
      </c>
      <c r="T89" s="226"/>
      <c r="U89" s="230" t="s">
        <v>490</v>
      </c>
      <c r="V89" s="229">
        <v>16048870.76</v>
      </c>
      <c r="W89" s="228"/>
    </row>
    <row r="90" spans="7:23">
      <c r="G90" s="208"/>
      <c r="H90" s="209" t="s">
        <v>509</v>
      </c>
      <c r="I90" s="210">
        <v>32282473.920000002</v>
      </c>
      <c r="J90" s="211"/>
      <c r="L90" s="208"/>
      <c r="M90" s="209" t="s">
        <v>509</v>
      </c>
      <c r="N90" s="210">
        <v>657073160.88999999</v>
      </c>
      <c r="O90" s="211"/>
      <c r="T90" s="226"/>
      <c r="U90" s="231" t="s">
        <v>491</v>
      </c>
      <c r="V90" s="229">
        <v>16048870.76</v>
      </c>
      <c r="W90" s="228"/>
    </row>
    <row r="91" spans="7:23">
      <c r="G91" s="208"/>
      <c r="H91" s="212" t="s">
        <v>614</v>
      </c>
      <c r="I91" s="210">
        <v>40000</v>
      </c>
      <c r="J91" s="211"/>
      <c r="L91" s="208"/>
      <c r="M91" s="212" t="s">
        <v>510</v>
      </c>
      <c r="N91" s="210">
        <v>657073160.88999999</v>
      </c>
      <c r="O91" s="211"/>
      <c r="T91" s="233"/>
      <c r="U91" s="234" t="s">
        <v>492</v>
      </c>
      <c r="V91" s="235">
        <v>16048870.76</v>
      </c>
      <c r="W91" s="235">
        <v>16048870.76</v>
      </c>
    </row>
    <row r="92" spans="7:23" ht="20.399999999999999">
      <c r="G92" s="208"/>
      <c r="H92" s="213" t="s">
        <v>622</v>
      </c>
      <c r="I92" s="210">
        <v>40000</v>
      </c>
      <c r="J92" s="211"/>
      <c r="L92" s="208"/>
      <c r="M92" s="213" t="s">
        <v>511</v>
      </c>
      <c r="N92" s="210">
        <v>657073160.88999999</v>
      </c>
      <c r="O92" s="211"/>
      <c r="T92" s="233"/>
      <c r="U92" s="234" t="s">
        <v>493</v>
      </c>
      <c r="V92" s="236"/>
      <c r="W92" s="236"/>
    </row>
    <row r="93" spans="7:23">
      <c r="G93" s="208"/>
      <c r="H93" s="212" t="s">
        <v>510</v>
      </c>
      <c r="I93" s="210">
        <v>32242473.920000002</v>
      </c>
      <c r="J93" s="211"/>
      <c r="L93" s="208"/>
      <c r="M93" s="209" t="s">
        <v>631</v>
      </c>
      <c r="N93" s="211"/>
      <c r="O93" s="219">
        <v>-0.03</v>
      </c>
    </row>
    <row r="94" spans="7:23">
      <c r="G94" s="208"/>
      <c r="H94" s="213" t="s">
        <v>511</v>
      </c>
      <c r="I94" s="210">
        <v>32242473.920000002</v>
      </c>
      <c r="J94" s="211"/>
      <c r="L94" s="208"/>
      <c r="M94" s="212" t="s">
        <v>632</v>
      </c>
      <c r="N94" s="211"/>
      <c r="O94" s="219">
        <v>-0.03</v>
      </c>
    </row>
    <row r="95" spans="7:23">
      <c r="G95" s="215"/>
      <c r="H95" s="216" t="s">
        <v>492</v>
      </c>
      <c r="I95" s="217">
        <v>652472450.80999994</v>
      </c>
      <c r="J95" s="217">
        <v>584229163.92999995</v>
      </c>
      <c r="L95" s="208"/>
      <c r="M95" s="213" t="s">
        <v>634</v>
      </c>
      <c r="N95" s="211"/>
      <c r="O95" s="219">
        <v>-0.03</v>
      </c>
    </row>
    <row r="96" spans="7:23" ht="20.399999999999999">
      <c r="G96" s="215"/>
      <c r="H96" s="216" t="s">
        <v>493</v>
      </c>
      <c r="I96" s="217">
        <v>161235001.50999999</v>
      </c>
      <c r="J96" s="218"/>
      <c r="L96" s="208"/>
      <c r="M96" s="209" t="s">
        <v>517</v>
      </c>
      <c r="N96" s="211"/>
      <c r="O96" s="210">
        <v>56607.14</v>
      </c>
    </row>
    <row r="97" spans="7:18">
      <c r="L97" s="208"/>
      <c r="M97" s="212" t="s">
        <v>520</v>
      </c>
      <c r="N97" s="211"/>
      <c r="O97" s="210">
        <v>56607.14</v>
      </c>
    </row>
    <row r="98" spans="7:18">
      <c r="L98" s="208"/>
      <c r="M98" s="213" t="s">
        <v>521</v>
      </c>
      <c r="N98" s="211"/>
      <c r="O98" s="210">
        <v>56607.14</v>
      </c>
    </row>
    <row r="99" spans="7:18">
      <c r="L99" s="215"/>
      <c r="M99" s="216" t="s">
        <v>492</v>
      </c>
      <c r="N99" s="217">
        <v>1060759770.91</v>
      </c>
      <c r="O99" s="217">
        <v>1346972774.8399999</v>
      </c>
    </row>
    <row r="100" spans="7:18" ht="20.399999999999999">
      <c r="L100" s="215"/>
      <c r="M100" s="216" t="s">
        <v>493</v>
      </c>
      <c r="N100" s="217">
        <v>35419280.719999999</v>
      </c>
      <c r="O100" s="218"/>
    </row>
    <row r="102" spans="7:18" ht="13.2">
      <c r="G102" s="302" t="s">
        <v>266</v>
      </c>
      <c r="H102" s="302"/>
      <c r="I102" s="302"/>
      <c r="J102" s="302"/>
      <c r="K102" s="302"/>
      <c r="L102" s="302" t="s">
        <v>266</v>
      </c>
      <c r="M102" s="302"/>
      <c r="N102" s="302"/>
      <c r="O102" s="302"/>
      <c r="P102" s="302"/>
      <c r="Q102" s="302"/>
      <c r="R102" s="302"/>
    </row>
    <row r="103" spans="7:18" ht="15.6">
      <c r="G103" s="301" t="s">
        <v>641</v>
      </c>
      <c r="H103" s="301"/>
      <c r="I103" s="301"/>
      <c r="J103" s="301"/>
      <c r="K103" s="301"/>
      <c r="L103" s="301" t="s">
        <v>644</v>
      </c>
      <c r="M103" s="301"/>
      <c r="N103" s="301"/>
      <c r="O103" s="301"/>
      <c r="P103" s="301"/>
      <c r="Q103" s="301"/>
      <c r="R103" s="301"/>
    </row>
    <row r="104" spans="7:18">
      <c r="G104" s="201"/>
      <c r="H104" s="201"/>
      <c r="I104" s="201"/>
      <c r="J104" s="201"/>
      <c r="L104" s="201"/>
      <c r="M104" s="201"/>
      <c r="N104" s="201"/>
      <c r="O104" s="201"/>
    </row>
    <row r="105" spans="7:18" ht="30.6">
      <c r="G105" s="202" t="s">
        <v>268</v>
      </c>
      <c r="H105" s="202" t="s">
        <v>269</v>
      </c>
      <c r="I105" s="201"/>
      <c r="J105" s="201"/>
      <c r="L105" s="202" t="s">
        <v>268</v>
      </c>
      <c r="M105" s="202" t="s">
        <v>269</v>
      </c>
      <c r="N105" s="201"/>
      <c r="O105" s="201"/>
    </row>
    <row r="106" spans="7:18">
      <c r="G106" s="201"/>
      <c r="H106" s="201"/>
      <c r="I106" s="201"/>
      <c r="J106" s="201"/>
      <c r="L106" s="201"/>
      <c r="M106" s="201"/>
      <c r="N106" s="201"/>
      <c r="O106" s="201"/>
    </row>
    <row r="107" spans="7:18">
      <c r="G107" s="201"/>
      <c r="H107" s="201"/>
      <c r="I107" s="201"/>
      <c r="J107" s="201"/>
      <c r="L107" s="201"/>
      <c r="M107" s="201"/>
      <c r="N107" s="201"/>
      <c r="O107" s="201"/>
    </row>
    <row r="108" spans="7:18" ht="13.2">
      <c r="G108" s="203" t="s">
        <v>270</v>
      </c>
      <c r="H108" s="203" t="s">
        <v>271</v>
      </c>
      <c r="I108" s="201"/>
      <c r="J108" s="201"/>
      <c r="L108" s="203" t="s">
        <v>270</v>
      </c>
      <c r="M108" s="203" t="s">
        <v>271</v>
      </c>
      <c r="N108" s="201"/>
      <c r="O108" s="201"/>
    </row>
    <row r="109" spans="7:18">
      <c r="G109" s="201"/>
      <c r="H109" s="201"/>
      <c r="I109" s="201"/>
      <c r="J109" s="201"/>
      <c r="L109" s="201"/>
      <c r="M109" s="201"/>
      <c r="N109" s="201"/>
      <c r="O109" s="201"/>
    </row>
    <row r="110" spans="7:18" ht="39.6">
      <c r="G110" s="204" t="s">
        <v>272</v>
      </c>
      <c r="H110" s="204" t="s">
        <v>479</v>
      </c>
      <c r="I110" s="204" t="s">
        <v>276</v>
      </c>
      <c r="J110" s="204" t="s">
        <v>277</v>
      </c>
      <c r="L110" s="204" t="s">
        <v>272</v>
      </c>
      <c r="M110" s="204" t="s">
        <v>479</v>
      </c>
      <c r="N110" s="204" t="s">
        <v>276</v>
      </c>
      <c r="O110" s="204" t="s">
        <v>277</v>
      </c>
    </row>
    <row r="111" spans="7:18" ht="40.799999999999997">
      <c r="G111" s="205" t="s">
        <v>333</v>
      </c>
      <c r="H111" s="205" t="s">
        <v>480</v>
      </c>
      <c r="I111" s="207"/>
      <c r="J111" s="206">
        <v>751600250.47000003</v>
      </c>
      <c r="L111" s="205" t="s">
        <v>327</v>
      </c>
      <c r="M111" s="205" t="s">
        <v>480</v>
      </c>
      <c r="N111" s="207"/>
      <c r="O111" s="206">
        <v>282590.44</v>
      </c>
    </row>
    <row r="112" spans="7:18">
      <c r="G112" s="208"/>
      <c r="H112" s="209" t="s">
        <v>442</v>
      </c>
      <c r="I112" s="210">
        <v>23370635.120000001</v>
      </c>
      <c r="J112" s="210">
        <v>13969813.779999999</v>
      </c>
      <c r="L112" s="208"/>
      <c r="M112" s="209" t="s">
        <v>631</v>
      </c>
      <c r="N112" s="211"/>
      <c r="O112" s="210">
        <v>77070.12</v>
      </c>
    </row>
    <row r="113" spans="7:15">
      <c r="G113" s="208"/>
      <c r="H113" s="212" t="s">
        <v>443</v>
      </c>
      <c r="I113" s="210">
        <v>23370635.120000001</v>
      </c>
      <c r="J113" s="210">
        <v>13969813.779999999</v>
      </c>
      <c r="L113" s="208"/>
      <c r="M113" s="212" t="s">
        <v>632</v>
      </c>
      <c r="N113" s="211"/>
      <c r="O113" s="210">
        <v>77070.12</v>
      </c>
    </row>
    <row r="114" spans="7:15">
      <c r="G114" s="208"/>
      <c r="H114" s="213" t="s">
        <v>444</v>
      </c>
      <c r="I114" s="210">
        <v>9400821.3399999999</v>
      </c>
      <c r="J114" s="211"/>
      <c r="L114" s="208"/>
      <c r="M114" s="213" t="s">
        <v>634</v>
      </c>
      <c r="N114" s="211"/>
      <c r="O114" s="210">
        <v>77070.12</v>
      </c>
    </row>
    <row r="115" spans="7:15">
      <c r="G115" s="208"/>
      <c r="H115" s="214" t="s">
        <v>445</v>
      </c>
      <c r="I115" s="210">
        <v>9400821.3399999999</v>
      </c>
      <c r="J115" s="211"/>
      <c r="L115" s="215"/>
      <c r="M115" s="216" t="s">
        <v>492</v>
      </c>
      <c r="N115" s="218"/>
      <c r="O115" s="217">
        <v>77070.12</v>
      </c>
    </row>
    <row r="116" spans="7:15" ht="20.399999999999999">
      <c r="G116" s="208"/>
      <c r="H116" s="213" t="s">
        <v>446</v>
      </c>
      <c r="I116" s="210">
        <v>13969813.779999999</v>
      </c>
      <c r="J116" s="210">
        <v>13969813.779999999</v>
      </c>
      <c r="L116" s="215"/>
      <c r="M116" s="216" t="s">
        <v>493</v>
      </c>
      <c r="N116" s="218"/>
      <c r="O116" s="217">
        <v>359660.56</v>
      </c>
    </row>
    <row r="117" spans="7:15">
      <c r="G117" s="208"/>
      <c r="H117" s="214" t="s">
        <v>447</v>
      </c>
      <c r="I117" s="210">
        <v>13969813.779999999</v>
      </c>
      <c r="J117" s="210">
        <v>13969813.779999999</v>
      </c>
    </row>
    <row r="118" spans="7:15">
      <c r="G118" s="208"/>
      <c r="H118" s="209" t="s">
        <v>631</v>
      </c>
      <c r="I118" s="211"/>
      <c r="J118" s="210">
        <v>4719395.71</v>
      </c>
    </row>
    <row r="119" spans="7:15">
      <c r="G119" s="208"/>
      <c r="H119" s="212" t="s">
        <v>642</v>
      </c>
      <c r="I119" s="211"/>
      <c r="J119" s="210">
        <v>2906060.65</v>
      </c>
    </row>
    <row r="120" spans="7:15">
      <c r="G120" s="208"/>
      <c r="H120" s="213" t="s">
        <v>643</v>
      </c>
      <c r="I120" s="211"/>
      <c r="J120" s="210">
        <v>2906060.65</v>
      </c>
    </row>
    <row r="121" spans="7:15">
      <c r="G121" s="208"/>
      <c r="H121" s="212" t="s">
        <v>632</v>
      </c>
      <c r="I121" s="211"/>
      <c r="J121" s="210">
        <v>1813335.06</v>
      </c>
    </row>
    <row r="122" spans="7:15">
      <c r="G122" s="208"/>
      <c r="H122" s="213" t="s">
        <v>634</v>
      </c>
      <c r="I122" s="211"/>
      <c r="J122" s="210">
        <v>1813335.06</v>
      </c>
    </row>
    <row r="123" spans="7:15">
      <c r="G123" s="208"/>
      <c r="H123" s="209" t="s">
        <v>517</v>
      </c>
      <c r="I123" s="211"/>
      <c r="J123" s="210">
        <v>313835178.47000003</v>
      </c>
    </row>
    <row r="124" spans="7:15">
      <c r="G124" s="208"/>
      <c r="H124" s="212" t="s">
        <v>518</v>
      </c>
      <c r="I124" s="211"/>
      <c r="J124" s="210">
        <v>167752212.99000001</v>
      </c>
    </row>
    <row r="125" spans="7:15">
      <c r="G125" s="208"/>
      <c r="H125" s="213" t="s">
        <v>519</v>
      </c>
      <c r="I125" s="211"/>
      <c r="J125" s="210">
        <v>167752212.99000001</v>
      </c>
    </row>
    <row r="126" spans="7:15">
      <c r="G126" s="208"/>
      <c r="H126" s="212" t="s">
        <v>520</v>
      </c>
      <c r="I126" s="211"/>
      <c r="J126" s="210">
        <v>146082965.47999999</v>
      </c>
    </row>
    <row r="127" spans="7:15">
      <c r="G127" s="208"/>
      <c r="H127" s="213" t="s">
        <v>521</v>
      </c>
      <c r="I127" s="211"/>
      <c r="J127" s="210">
        <v>146082965.47999999</v>
      </c>
    </row>
    <row r="128" spans="7:15">
      <c r="G128" s="215"/>
      <c r="H128" s="216" t="s">
        <v>492</v>
      </c>
      <c r="I128" s="217">
        <v>23370635.120000001</v>
      </c>
      <c r="J128" s="217">
        <v>332524387.95999998</v>
      </c>
    </row>
    <row r="129" spans="7:10" ht="20.399999999999999">
      <c r="G129" s="215"/>
      <c r="H129" s="216" t="s">
        <v>493</v>
      </c>
      <c r="I129" s="218"/>
      <c r="J129" s="217">
        <v>1060754003.3099999</v>
      </c>
    </row>
  </sheetData>
  <mergeCells count="10">
    <mergeCell ref="G103:K103"/>
    <mergeCell ref="L103:R103"/>
    <mergeCell ref="L102:R102"/>
    <mergeCell ref="T70:X70"/>
    <mergeCell ref="T71:X71"/>
    <mergeCell ref="G70:J70"/>
    <mergeCell ref="G71:K71"/>
    <mergeCell ref="L70:O70"/>
    <mergeCell ref="L71:R71"/>
    <mergeCell ref="G102:K102"/>
  </mergeCells>
  <conditionalFormatting sqref="Y3 E3:F3 V3:W3 H3:T3 H7:T7 E2:Y2">
    <cfRule type="cellIs" dxfId="39" priority="39" stopIfTrue="1" operator="greaterThan">
      <formula>0.5</formula>
    </cfRule>
    <cfRule type="cellIs" dxfId="38" priority="40" stopIfTrue="1" operator="lessThan">
      <formula>-0.5</formula>
    </cfRule>
  </conditionalFormatting>
  <conditionalFormatting sqref="I3">
    <cfRule type="cellIs" dxfId="37" priority="37" stopIfTrue="1" operator="greaterThan">
      <formula>0.5</formula>
    </cfRule>
    <cfRule type="cellIs" dxfId="36" priority="38" stopIfTrue="1" operator="lessThan">
      <formula>-0.5</formula>
    </cfRule>
  </conditionalFormatting>
  <conditionalFormatting sqref="Y3">
    <cfRule type="cellIs" dxfId="35" priority="35" stopIfTrue="1" operator="greaterThan">
      <formula>0.5</formula>
    </cfRule>
    <cfRule type="cellIs" dxfId="34" priority="36" stopIfTrue="1" operator="lessThan">
      <formula>-0.5</formula>
    </cfRule>
  </conditionalFormatting>
  <conditionalFormatting sqref="P3">
    <cfRule type="cellIs" dxfId="33" priority="33" stopIfTrue="1" operator="greaterThan">
      <formula>0.5</formula>
    </cfRule>
    <cfRule type="cellIs" dxfId="32" priority="34" stopIfTrue="1" operator="lessThan">
      <formula>-0.5</formula>
    </cfRule>
  </conditionalFormatting>
  <conditionalFormatting sqref="Q3">
    <cfRule type="cellIs" dxfId="31" priority="31" stopIfTrue="1" operator="greaterThan">
      <formula>0.5</formula>
    </cfRule>
    <cfRule type="cellIs" dxfId="30" priority="32" stopIfTrue="1" operator="lessThan">
      <formula>-0.5</formula>
    </cfRule>
  </conditionalFormatting>
  <conditionalFormatting sqref="V3">
    <cfRule type="cellIs" dxfId="29" priority="29" stopIfTrue="1" operator="greaterThan">
      <formula>0.5</formula>
    </cfRule>
    <cfRule type="cellIs" dxfId="28" priority="30" stopIfTrue="1" operator="lessThan">
      <formula>-0.5</formula>
    </cfRule>
  </conditionalFormatting>
  <conditionalFormatting sqref="X3">
    <cfRule type="cellIs" dxfId="27" priority="27" stopIfTrue="1" operator="greaterThan">
      <formula>0.5</formula>
    </cfRule>
    <cfRule type="cellIs" dxfId="26" priority="28" stopIfTrue="1" operator="lessThan">
      <formula>-0.5</formula>
    </cfRule>
  </conditionalFormatting>
  <conditionalFormatting sqref="X3">
    <cfRule type="cellIs" dxfId="25" priority="25" stopIfTrue="1" operator="greaterThan">
      <formula>0.5</formula>
    </cfRule>
    <cfRule type="cellIs" dxfId="24" priority="26" stopIfTrue="1" operator="lessThan">
      <formula>-0.5</formula>
    </cfRule>
  </conditionalFormatting>
  <conditionalFormatting sqref="G3">
    <cfRule type="cellIs" dxfId="23" priority="23" stopIfTrue="1" operator="greaterThan">
      <formula>0.5</formula>
    </cfRule>
    <cfRule type="cellIs" dxfId="22" priority="24" stopIfTrue="1" operator="lessThan">
      <formula>-0.5</formula>
    </cfRule>
  </conditionalFormatting>
  <conditionalFormatting sqref="U3">
    <cfRule type="cellIs" dxfId="21" priority="21" stopIfTrue="1" operator="greaterThan">
      <formula>0.5</formula>
    </cfRule>
    <cfRule type="cellIs" dxfId="20" priority="22" stopIfTrue="1" operator="lessThan">
      <formula>-0.5</formula>
    </cfRule>
  </conditionalFormatting>
  <conditionalFormatting sqref="Y7 E7:F7 V7:W7">
    <cfRule type="cellIs" dxfId="19" priority="19" stopIfTrue="1" operator="greaterThan">
      <formula>0.5</formula>
    </cfRule>
    <cfRule type="cellIs" dxfId="18" priority="20" stopIfTrue="1" operator="lessThan">
      <formula>-0.5</formula>
    </cfRule>
  </conditionalFormatting>
  <conditionalFormatting sqref="I7">
    <cfRule type="cellIs" dxfId="17" priority="17" stopIfTrue="1" operator="greaterThan">
      <formula>0.5</formula>
    </cfRule>
    <cfRule type="cellIs" dxfId="16" priority="18" stopIfTrue="1" operator="lessThan">
      <formula>-0.5</formula>
    </cfRule>
  </conditionalFormatting>
  <conditionalFormatting sqref="Y7">
    <cfRule type="cellIs" dxfId="15" priority="15" stopIfTrue="1" operator="greaterThan">
      <formula>0.5</formula>
    </cfRule>
    <cfRule type="cellIs" dxfId="14" priority="16" stopIfTrue="1" operator="lessThan">
      <formula>-0.5</formula>
    </cfRule>
  </conditionalFormatting>
  <conditionalFormatting sqref="P7">
    <cfRule type="cellIs" dxfId="13" priority="13" stopIfTrue="1" operator="greaterThan">
      <formula>0.5</formula>
    </cfRule>
    <cfRule type="cellIs" dxfId="12" priority="14" stopIfTrue="1" operator="lessThan">
      <formula>-0.5</formula>
    </cfRule>
  </conditionalFormatting>
  <conditionalFormatting sqref="Q7">
    <cfRule type="cellIs" dxfId="11" priority="11" stopIfTrue="1" operator="greaterThan">
      <formula>0.5</formula>
    </cfRule>
    <cfRule type="cellIs" dxfId="10" priority="12" stopIfTrue="1" operator="lessThan">
      <formula>-0.5</formula>
    </cfRule>
  </conditionalFormatting>
  <conditionalFormatting sqref="V7">
    <cfRule type="cellIs" dxfId="9" priority="9" stopIfTrue="1" operator="greaterThan">
      <formula>0.5</formula>
    </cfRule>
    <cfRule type="cellIs" dxfId="8" priority="10" stopIfTrue="1" operator="lessThan">
      <formula>-0.5</formula>
    </cfRule>
  </conditionalFormatting>
  <conditionalFormatting sqref="X7">
    <cfRule type="cellIs" dxfId="7" priority="7" stopIfTrue="1" operator="greaterThan">
      <formula>0.5</formula>
    </cfRule>
    <cfRule type="cellIs" dxfId="6" priority="8" stopIfTrue="1" operator="lessThan">
      <formula>-0.5</formula>
    </cfRule>
  </conditionalFormatting>
  <conditionalFormatting sqref="X7">
    <cfRule type="cellIs" dxfId="5" priority="5" stopIfTrue="1" operator="greaterThan">
      <formula>0.5</formula>
    </cfRule>
    <cfRule type="cellIs" dxfId="4" priority="6" stopIfTrue="1" operator="lessThan">
      <formula>-0.5</formula>
    </cfRule>
  </conditionalFormatting>
  <conditionalFormatting sqref="G7">
    <cfRule type="cellIs" dxfId="3" priority="3" stopIfTrue="1" operator="greaterThan">
      <formula>0.5</formula>
    </cfRule>
    <cfRule type="cellIs" dxfId="2" priority="4" stopIfTrue="1" operator="lessThan">
      <formula>-0.5</formula>
    </cfRule>
  </conditionalFormatting>
  <conditionalFormatting sqref="U7">
    <cfRule type="cellIs" dxfId="1" priority="1" stopIfTrue="1" operator="greaterThan">
      <formula>0.5</formula>
    </cfRule>
    <cfRule type="cellIs" dxfId="0" priority="2" stopIfTrue="1" operator="lessThan">
      <formula>-0.5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ОСВ</vt:lpstr>
      <vt:lpstr>ОФП</vt:lpstr>
      <vt:lpstr>ОДР и ПСД</vt:lpstr>
      <vt:lpstr>ОДДС-К</vt:lpstr>
      <vt:lpstr>ОДДС_К</vt:lpstr>
      <vt:lpstr>Ф.3-ДДС-П</vt:lpstr>
      <vt:lpstr>ОИК</vt:lpstr>
      <vt:lpstr>CF-21_1пг.22</vt:lpstr>
      <vt:lpstr>'Ф.3-ДДС-П'!Область_печати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Кустанова</dc:creator>
  <cp:lastModifiedBy>Aliya Kustanova</cp:lastModifiedBy>
  <cp:lastPrinted>2022-08-11T06:35:19Z</cp:lastPrinted>
  <dcterms:created xsi:type="dcterms:W3CDTF">2021-08-20T06:10:20Z</dcterms:created>
  <dcterms:modified xsi:type="dcterms:W3CDTF">2022-08-17T05:58:37Z</dcterms:modified>
</cp:coreProperties>
</file>