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<sst xmlns="http://schemas.openxmlformats.org/spreadsheetml/2006/main" count="199" uniqueCount="155">
  <si>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</si>
  <si>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</si>
  <si>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</si>
  <si>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</si>
  <si>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</si>
  <si>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</si>
  <si>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</si>
  <si>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</si>
  <si>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</si>
  <si>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</si>
  <si>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</si>
  <si>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</si>
  <si>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</si>
  <si>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</si>
  <si>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</si>
  <si>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</si>
  <si>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</si>
  <si>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</si>
  <si>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</si>
  <si>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</si>
  <si>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</si>
  <si>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</si>
  <si>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</si>
  <si>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</si>
  <si>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</si>
  <si>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</si>
  <si>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</si>
  <si>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</si>
  <si>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</si>
  <si>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</si>
  <si>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</si>
  <si>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</si>
  <si>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</si>
  <si>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</si>
  <si>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</si>
  <si>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</si>
  <si>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</si>
  <si>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</si>
  <si>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</si>
  <si>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</si>
  <si>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</si>
  <si>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</si>
  <si>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</si>
  <si>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</si>
  <si>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</si>
  <si>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</si>
  <si>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</si>
  <si>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</si>
  <si>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</si>
  <si>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</si>
  <si>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</si>
  <si>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</si>
  <si>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</si>
  <si>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</si>
  <si>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</si>
  <si>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</si>
  <si>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</si>
  <si>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</si>
  <si>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</si>
  <si>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</si>
  <si>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</si>
  <si>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</si>
  <si>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</si>
  <si>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</si>
  <si>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</si>
  <si>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</si>
  <si>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</si>
  <si>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</si>
  <si>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</si>
  <si>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</si>
  <si>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</si>
  <si>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</si>
  <si>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</si>
  <si>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</si>
  <si>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</si>
  <si>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</si>
  <si>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</si>
  <si>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</si>
  <si>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</si>
  <si>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</si>
  <si>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</si>
  <si>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</si>
  <si>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</si>
  <si>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</si>
  <si>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</si>
  <si>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</si>
  <si>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</si>
  <si>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</si>
  <si>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</si>
  <si>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</si>
  <si>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</si>
  <si>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</si>
  <si>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</si>
  <si>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</si>
  <si>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</si>
  <si>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</si>
  <si>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</si>
  <si>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</si>
  <si>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</si>
  <si>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</si>
  <si>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</si>
  <si>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</si>
  <si>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</si>
  <si>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</si>
  <si>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</si>
  <si>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</si>
  <si>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</si>
  <si>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</si>
  <si>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</si>
  <si>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</si>
  <si>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</si>
  <si>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</si>
  <si>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</si>
  <si>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</si>
  <si>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</si>
  <si>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</si>
  <si>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</si>
  <si>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</si>
  <si>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</si>
  <si>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</si>
  <si>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</si>
  <si>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</si>
  <si>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</si>
  <si>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</si>
  <si>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</si>
  <si>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</si>
  <si>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</si>
  <si>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</si>
  <si>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</si>
  <si>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</si>
  <si>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</si>
  <si>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</si>
  <si>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</si>
  <si>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</si>
  <si>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</si>
  <si>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</si>
  <si>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</si>
  <si>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</si>
  <si>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</si>
  <si>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</si>
  <si>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</si>
  <si>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</si>
  <si>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Корпоративный подоходный налог  и прочие платежи в бюджет</t>
  </si>
  <si>
    <t>Сальдо на отчетную дату</t>
  </si>
  <si>
    <t>Дивиденды (Примечание 22)</t>
  </si>
  <si>
    <t>Налоги</t>
  </si>
  <si>
    <t>Другие обязательные платежи</t>
  </si>
  <si>
    <t>Прочие поступления (погашение ОГ)</t>
  </si>
  <si>
    <t>На 31 декабря 2020 г.</t>
  </si>
  <si>
    <t>На 31 декабря 2021 года</t>
  </si>
  <si>
    <t>Долгосрочная дебиторская задолженность</t>
  </si>
  <si>
    <t>Отчет о финансовом положении по состоянию  на</t>
  </si>
  <si>
    <t>Займы сотрудникам</t>
  </si>
  <si>
    <t xml:space="preserve"> за период, закончившийся 30 июня 2022  года</t>
  </si>
  <si>
    <t>Балансовая стоимость одной простой акции, в тенге*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</si>
</sst>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8" customWidth="1"/>
    <col min="4" max="4" width="10.28125" style="18" customWidth="1"/>
    <col min="5" max="5" width="8.7109375" style="18" customWidth="1"/>
    <col min="6" max="6" width="11.28125" style="0" customWidth="1"/>
    <col min="7" max="7" width="11.421875" style="0" customWidth="1"/>
  </cols>
  <sheetData>
    <row r="1" spans="2:4" ht="36" customHeight="1">
      <c r="B1" s="35"/>
      <c r="C1" s="35"/>
      <c r="D1" s="35"/>
    </row>
    <row r="2" ht="13.5">
      <c r="A2" s="60" t="s">
        <v>17</v>
      </c>
    </row>
    <row r="3" spans="1:7" ht="21.75" customHeight="1">
      <c r="A3" s="109" t="s">
        <v>36</v>
      </c>
      <c r="B3" s="109"/>
      <c r="C3" s="109"/>
      <c r="D3" s="109"/>
      <c r="E3" s="109"/>
      <c r="F3" s="109"/>
      <c r="G3" s="109"/>
    </row>
    <row r="4" spans="1:7" ht="13.5">
      <c r="A4" s="109" t="str">
        <f>'форма 2'!A7:D7</f>
        <v> за период, закончившийся 30 июня 2022  года</v>
      </c>
      <c r="B4" s="109"/>
      <c r="C4" s="109"/>
      <c r="D4" s="109"/>
      <c r="E4" s="109"/>
      <c r="F4" s="109"/>
      <c r="G4" s="109"/>
    </row>
    <row r="5" ht="13.5">
      <c r="A5" s="92" t="s">
        <v>96</v>
      </c>
    </row>
    <row r="6" spans="1:7" ht="102" customHeight="1">
      <c r="A6" s="22"/>
      <c r="B6" s="104" t="s">
        <v>72</v>
      </c>
      <c r="C6" s="104" t="s">
        <v>15</v>
      </c>
      <c r="D6" s="104" t="s">
        <v>38</v>
      </c>
      <c r="E6" s="70" t="s">
        <v>31</v>
      </c>
      <c r="F6" s="104" t="s">
        <v>39</v>
      </c>
      <c r="G6" s="104" t="s">
        <v>37</v>
      </c>
    </row>
    <row r="7" spans="1:7" s="27" customFormat="1" ht="14.25" customHeight="1">
      <c r="A7" s="20" t="s">
        <v>148</v>
      </c>
      <c r="B7" s="21">
        <v>600190</v>
      </c>
      <c r="C7" s="21">
        <v>19</v>
      </c>
      <c r="D7" s="21">
        <v>-190</v>
      </c>
      <c r="E7" s="21">
        <v>439497</v>
      </c>
      <c r="F7" s="39">
        <v>2177499</v>
      </c>
      <c r="G7" s="39">
        <f>SUM(B7:F7)</f>
        <v>3217015</v>
      </c>
    </row>
    <row r="8" spans="1:7" ht="15" customHeight="1">
      <c r="A8" s="22" t="s">
        <v>99</v>
      </c>
      <c r="B8" s="21"/>
      <c r="C8" s="21"/>
      <c r="D8" s="21"/>
      <c r="E8" s="21"/>
      <c r="F8" s="39">
        <v>6167</v>
      </c>
      <c r="G8" s="39">
        <f>SUM(B8:F8)</f>
        <v>6167</v>
      </c>
    </row>
    <row r="9" spans="1:7" ht="12.75" customHeight="1">
      <c r="A9" s="19" t="s">
        <v>98</v>
      </c>
      <c r="B9" s="23"/>
      <c r="C9" s="23"/>
      <c r="D9" s="23"/>
      <c r="E9" s="23">
        <f>-60617+12123</f>
        <v>-48494</v>
      </c>
      <c r="F9" s="23">
        <v>48494</v>
      </c>
      <c r="G9" s="39">
        <f>SUM(B9:F9)</f>
        <v>0</v>
      </c>
    </row>
    <row r="10" spans="1:7" ht="15" customHeight="1">
      <c r="A10" s="19" t="s">
        <v>144</v>
      </c>
      <c r="B10" s="23"/>
      <c r="C10" s="23"/>
      <c r="D10" s="23"/>
      <c r="E10" s="23"/>
      <c r="F10" s="40"/>
      <c r="G10" s="39">
        <f>SUM(B10:F10)</f>
        <v>0</v>
      </c>
    </row>
    <row r="11" spans="1:7" ht="12" customHeight="1">
      <c r="A11" s="20" t="s">
        <v>149</v>
      </c>
      <c r="B11" s="21">
        <f aca="true" t="shared" si="0" ref="B11:G11">SUM(B7:B10)</f>
        <v>600190</v>
      </c>
      <c r="C11" s="21">
        <f t="shared" si="0"/>
        <v>19</v>
      </c>
      <c r="D11" s="21">
        <f t="shared" si="0"/>
        <v>-190</v>
      </c>
      <c r="E11" s="21">
        <f t="shared" si="0"/>
        <v>391003</v>
      </c>
      <c r="F11" s="21">
        <f t="shared" si="0"/>
        <v>2232160</v>
      </c>
      <c r="G11" s="21">
        <f t="shared" si="0"/>
        <v>3223182</v>
      </c>
    </row>
    <row r="12" spans="1:7" ht="13.5">
      <c r="A12" s="22" t="s">
        <v>99</v>
      </c>
      <c r="B12" s="23"/>
      <c r="C12" s="23"/>
      <c r="D12" s="23"/>
      <c r="E12" s="23"/>
      <c r="F12" s="40">
        <f>'форма 2'!C23</f>
        <v>22257.6</v>
      </c>
      <c r="G12" s="39">
        <f>SUM(B12:F12)</f>
        <v>22257.6</v>
      </c>
    </row>
    <row r="13" spans="1:7" ht="15" customHeight="1">
      <c r="A13" s="19" t="s">
        <v>98</v>
      </c>
      <c r="B13" s="21"/>
      <c r="C13" s="21"/>
      <c r="D13" s="21"/>
      <c r="E13" s="21">
        <v>-23231</v>
      </c>
      <c r="F13" s="21">
        <v>23231</v>
      </c>
      <c r="G13" s="39">
        <f>SUM(B13:F13)</f>
        <v>0</v>
      </c>
    </row>
    <row r="14" spans="1:7" ht="15" customHeight="1">
      <c r="A14" s="19" t="s">
        <v>144</v>
      </c>
      <c r="B14" s="21"/>
      <c r="C14" s="21"/>
      <c r="D14" s="21"/>
      <c r="E14" s="21"/>
      <c r="F14" s="21">
        <v>-211000</v>
      </c>
      <c r="G14" s="39">
        <f>SUM(B14:F14)</f>
        <v>-211000</v>
      </c>
    </row>
    <row r="15" spans="1:7" ht="18" customHeight="1">
      <c r="A15" s="20" t="s">
        <v>143</v>
      </c>
      <c r="B15" s="21">
        <f aca="true" t="shared" si="1" ref="B15:G15">SUM(B11:B14)</f>
        <v>600190</v>
      </c>
      <c r="C15" s="21">
        <f t="shared" si="1"/>
        <v>19</v>
      </c>
      <c r="D15" s="21">
        <f t="shared" si="1"/>
        <v>-190</v>
      </c>
      <c r="E15" s="21">
        <f t="shared" si="1"/>
        <v>367772</v>
      </c>
      <c r="F15" s="21">
        <f t="shared" si="1"/>
        <v>2066648.6</v>
      </c>
      <c r="G15" s="21">
        <f t="shared" si="1"/>
        <v>3034439.6</v>
      </c>
    </row>
    <row r="16" spans="5:7" ht="27" customHeight="1">
      <c r="E16" s="62"/>
      <c r="G16" s="64"/>
    </row>
    <row r="17" spans="1:8" ht="13.5">
      <c r="A17" s="72" t="s">
        <v>101</v>
      </c>
      <c r="B17" s="111" t="s">
        <v>20</v>
      </c>
      <c r="C17" s="111"/>
      <c r="D17" s="94" t="s">
        <v>100</v>
      </c>
      <c r="E17" s="71"/>
      <c r="F17" s="27"/>
      <c r="G17" s="27"/>
      <c r="H17" s="27"/>
    </row>
    <row r="18" spans="2:8" ht="12" customHeight="1">
      <c r="B18" s="108"/>
      <c r="C18" s="108"/>
      <c r="D18" s="71"/>
      <c r="E18" s="71"/>
      <c r="F18" s="107"/>
      <c r="G18" s="107"/>
      <c r="H18" s="107"/>
    </row>
    <row r="19" spans="1:8" ht="18" customHeight="1">
      <c r="A19" s="25" t="s">
        <v>102</v>
      </c>
      <c r="B19" s="111" t="s">
        <v>20</v>
      </c>
      <c r="C19" s="111"/>
      <c r="D19" s="107" t="s">
        <v>103</v>
      </c>
      <c r="E19" s="107"/>
      <c r="F19" s="107"/>
      <c r="G19" s="107"/>
      <c r="H19" s="27"/>
    </row>
    <row r="20" spans="1:3" ht="12.75" customHeight="1">
      <c r="A20" s="93"/>
      <c r="B20" s="108"/>
      <c r="C20" s="108"/>
    </row>
    <row r="21" spans="1:6" ht="13.5">
      <c r="A21" s="110" t="s">
        <v>32</v>
      </c>
      <c r="B21" s="110"/>
      <c r="C21" s="110"/>
      <c r="D21" s="110"/>
      <c r="F21" s="37"/>
    </row>
    <row r="22" ht="13.5">
      <c r="F22" s="38"/>
    </row>
  </sheetData>
  <sheetProtection/>
  <mergeCells count="9">
    <mergeCell ref="D19:G19"/>
    <mergeCell ref="B20:C20"/>
    <mergeCell ref="A3:G3"/>
    <mergeCell ref="A4:G4"/>
    <mergeCell ref="A21:D21"/>
    <mergeCell ref="F18:H18"/>
    <mergeCell ref="B17:C17"/>
    <mergeCell ref="B18:C18"/>
    <mergeCell ref="B19:C19"/>
  </mergeCells>
  <printOptions/>
  <pageMargins left="0.7874015748031497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5">
      <selection activeCell="A51" sqref="A51:D51"/>
    </sheetView>
  </sheetViews>
  <sheetFormatPr defaultColWidth="9.140625" defaultRowHeight="12.75"/>
  <cols>
    <col min="1" max="1" width="55.8515625" style="1" customWidth="1"/>
    <col min="2" max="2" width="6.140625" style="3" customWidth="1"/>
    <col min="3" max="3" width="14.140625" style="1" customWidth="1"/>
    <col min="4" max="4" width="14.57421875" style="1" customWidth="1"/>
    <col min="5" max="5" width="11.421875" style="0" customWidth="1"/>
  </cols>
  <sheetData>
    <row r="1" spans="1:4" ht="12.75" customHeight="1">
      <c r="A1" s="112" t="s">
        <v>17</v>
      </c>
      <c r="B1" s="112"/>
      <c r="C1" s="112"/>
      <c r="D1" s="112"/>
    </row>
    <row r="2" spans="1:4" ht="12.75" customHeight="1">
      <c r="A2" s="113" t="s">
        <v>35</v>
      </c>
      <c r="B2" s="113"/>
      <c r="C2" s="113"/>
      <c r="D2" s="113"/>
    </row>
    <row r="3" spans="1:4" ht="12.75" customHeight="1">
      <c r="A3" s="109" t="str">
        <f>'форма 2'!A7:D7</f>
        <v> за период, закончившийся 30 июня 2022  года</v>
      </c>
      <c r="B3" s="109"/>
      <c r="C3" s="109"/>
      <c r="D3" s="109"/>
    </row>
    <row r="4" spans="1:4" ht="12.75" customHeight="1">
      <c r="A4" s="2"/>
      <c r="B4" s="114" t="s">
        <v>97</v>
      </c>
      <c r="C4" s="114"/>
      <c r="D4" s="114"/>
    </row>
    <row r="5" spans="1:4" ht="34.5" customHeight="1">
      <c r="A5" s="57" t="s">
        <v>0</v>
      </c>
      <c r="B5" s="97" t="s">
        <v>76</v>
      </c>
      <c r="C5" s="12">
        <f>'форма 2'!C9</f>
        <v>44742</v>
      </c>
      <c r="D5" s="12">
        <f>'форма 2'!D9</f>
        <v>44377</v>
      </c>
    </row>
    <row r="6" spans="1:4" ht="12.75" customHeight="1">
      <c r="A6" s="29" t="s">
        <v>107</v>
      </c>
      <c r="B6" s="33"/>
      <c r="C6" s="26"/>
      <c r="D6" s="26"/>
    </row>
    <row r="7" spans="1:4" ht="12.75" customHeight="1">
      <c r="A7" s="29" t="s">
        <v>113</v>
      </c>
      <c r="B7" s="31"/>
      <c r="C7" s="21">
        <f>SUM(C8:C11)</f>
        <v>5609841</v>
      </c>
      <c r="D7" s="21">
        <f>SUM(D8:D11)</f>
        <v>4345025</v>
      </c>
    </row>
    <row r="8" spans="1:4" ht="14.25" customHeight="1">
      <c r="A8" s="30" t="s">
        <v>108</v>
      </c>
      <c r="B8" s="34"/>
      <c r="C8" s="23">
        <f>5010900+628571-50000-C9-C22</f>
        <v>5181256</v>
      </c>
      <c r="D8" s="23">
        <f>915474+2700129-D9</f>
        <v>3187097</v>
      </c>
    </row>
    <row r="9" spans="1:4" ht="14.25" customHeight="1">
      <c r="A9" s="30" t="s">
        <v>109</v>
      </c>
      <c r="B9" s="31"/>
      <c r="C9" s="23">
        <v>408215</v>
      </c>
      <c r="D9" s="23">
        <v>428506</v>
      </c>
    </row>
    <row r="10" spans="1:4" ht="14.25" customHeight="1">
      <c r="A10" s="22" t="s">
        <v>110</v>
      </c>
      <c r="B10" s="31"/>
      <c r="C10" s="23">
        <v>1868</v>
      </c>
      <c r="D10" s="23">
        <v>13754</v>
      </c>
    </row>
    <row r="11" spans="1:4" ht="14.25" customHeight="1">
      <c r="A11" s="22" t="s">
        <v>111</v>
      </c>
      <c r="B11" s="31"/>
      <c r="C11" s="23">
        <f>400+200+17902</f>
        <v>18502</v>
      </c>
      <c r="D11" s="23">
        <f>2543+713125</f>
        <v>715668</v>
      </c>
    </row>
    <row r="12" spans="1:4" ht="14.25" customHeight="1">
      <c r="A12" s="28" t="s">
        <v>112</v>
      </c>
      <c r="B12" s="31"/>
      <c r="C12" s="21">
        <f>SUM(C13:C18)</f>
        <v>5173749</v>
      </c>
      <c r="D12" s="21">
        <f>SUM(D13:D18)</f>
        <v>4423543</v>
      </c>
    </row>
    <row r="13" spans="1:4" ht="14.25" customHeight="1">
      <c r="A13" s="22" t="s">
        <v>114</v>
      </c>
      <c r="B13" s="31"/>
      <c r="C13" s="23">
        <f>2655474-35+1246052-18941-C14</f>
        <v>3306600</v>
      </c>
      <c r="D13" s="23">
        <f>2392324+783250-15-D14-D26</f>
        <v>2164592</v>
      </c>
    </row>
    <row r="14" spans="1:5" ht="14.25" customHeight="1">
      <c r="A14" s="22" t="s">
        <v>115</v>
      </c>
      <c r="B14" s="31"/>
      <c r="C14" s="23">
        <v>575950</v>
      </c>
      <c r="D14" s="23">
        <v>1009876</v>
      </c>
      <c r="E14" s="64"/>
    </row>
    <row r="15" spans="1:4" ht="14.25" customHeight="1">
      <c r="A15" s="22" t="s">
        <v>116</v>
      </c>
      <c r="B15" s="31"/>
      <c r="C15" s="23">
        <v>612561</v>
      </c>
      <c r="D15" s="23">
        <f>628241-148</f>
        <v>628093</v>
      </c>
    </row>
    <row r="16" spans="1:4" ht="14.25" customHeight="1">
      <c r="A16" s="22" t="s">
        <v>117</v>
      </c>
      <c r="B16" s="31"/>
      <c r="C16" s="23">
        <v>67518</v>
      </c>
      <c r="D16" s="23">
        <v>65788</v>
      </c>
    </row>
    <row r="17" spans="1:4" ht="14.25" customHeight="1">
      <c r="A17" s="22" t="s">
        <v>142</v>
      </c>
      <c r="B17" s="31"/>
      <c r="C17" s="23">
        <f>80218+426518+90892-107</f>
        <v>597521</v>
      </c>
      <c r="D17" s="23">
        <f>5547+425953+67345-199</f>
        <v>498646</v>
      </c>
    </row>
    <row r="18" spans="1:4" ht="14.25" customHeight="1">
      <c r="A18" s="22" t="s">
        <v>118</v>
      </c>
      <c r="B18" s="31"/>
      <c r="C18" s="23">
        <f>5355+2983+5065+196</f>
        <v>13599</v>
      </c>
      <c r="D18" s="23">
        <f>52072+3820+656</f>
        <v>56548</v>
      </c>
    </row>
    <row r="19" spans="1:4" ht="30" customHeight="1">
      <c r="A19" s="20" t="s">
        <v>119</v>
      </c>
      <c r="B19" s="31"/>
      <c r="C19" s="63">
        <f>C7-C12</f>
        <v>436092</v>
      </c>
      <c r="D19" s="63">
        <f>D7-D12</f>
        <v>-78518</v>
      </c>
    </row>
    <row r="20" spans="1:4" ht="14.25" customHeight="1">
      <c r="A20" s="28" t="s">
        <v>120</v>
      </c>
      <c r="B20" s="31"/>
      <c r="C20" s="21"/>
      <c r="D20" s="21"/>
    </row>
    <row r="21" spans="1:4" ht="18" customHeight="1">
      <c r="A21" s="20" t="s">
        <v>113</v>
      </c>
      <c r="B21" s="31"/>
      <c r="C21" s="21">
        <f>C22+C23+C24</f>
        <v>1149023</v>
      </c>
      <c r="D21" s="21">
        <f>D22+D23+D24</f>
        <v>3428887</v>
      </c>
    </row>
    <row r="22" spans="1:4" ht="14.25" customHeight="1">
      <c r="A22" s="22" t="s">
        <v>121</v>
      </c>
      <c r="B22" s="31"/>
      <c r="C22" s="23"/>
      <c r="D22" s="23"/>
    </row>
    <row r="23" spans="1:4" ht="14.25" customHeight="1">
      <c r="A23" s="22" t="s">
        <v>122</v>
      </c>
      <c r="B23" s="31"/>
      <c r="C23" s="23">
        <v>1149023</v>
      </c>
      <c r="D23" s="23">
        <v>3428887</v>
      </c>
    </row>
    <row r="24" spans="1:4" ht="14.25" customHeight="1">
      <c r="A24" s="101" t="s">
        <v>147</v>
      </c>
      <c r="B24" s="31"/>
      <c r="C24" s="23"/>
      <c r="D24" s="23"/>
    </row>
    <row r="25" spans="1:4" ht="18" customHeight="1">
      <c r="A25" s="20" t="s">
        <v>112</v>
      </c>
      <c r="B25" s="31"/>
      <c r="C25" s="21">
        <f>SUM(C26:C29)</f>
        <v>1170790</v>
      </c>
      <c r="D25" s="21">
        <f>SUM(D26:D29)</f>
        <v>3049091</v>
      </c>
    </row>
    <row r="26" spans="1:4" ht="14.25" customHeight="1">
      <c r="A26" s="22" t="s">
        <v>123</v>
      </c>
      <c r="B26" s="31"/>
      <c r="C26" s="23"/>
      <c r="D26" s="23">
        <v>1091</v>
      </c>
    </row>
    <row r="27" spans="1:4" ht="14.25" customHeight="1">
      <c r="A27" s="19" t="s">
        <v>124</v>
      </c>
      <c r="B27" s="31"/>
      <c r="C27" s="23"/>
      <c r="D27" s="23"/>
    </row>
    <row r="28" spans="1:4" ht="14.25" customHeight="1">
      <c r="A28" s="22" t="s">
        <v>44</v>
      </c>
      <c r="B28" s="31"/>
      <c r="C28" s="23">
        <v>8790</v>
      </c>
      <c r="D28" s="23"/>
    </row>
    <row r="29" spans="1:4" ht="16.5" customHeight="1">
      <c r="A29" s="19" t="s">
        <v>45</v>
      </c>
      <c r="B29" s="31"/>
      <c r="C29" s="23">
        <v>1162000</v>
      </c>
      <c r="D29" s="23">
        <v>3048000</v>
      </c>
    </row>
    <row r="30" spans="1:4" ht="30" customHeight="1">
      <c r="A30" s="20" t="s">
        <v>125</v>
      </c>
      <c r="B30" s="31"/>
      <c r="C30" s="21">
        <f>C21-C25</f>
        <v>-21767</v>
      </c>
      <c r="D30" s="21">
        <f>D21-D25</f>
        <v>379796</v>
      </c>
    </row>
    <row r="31" spans="1:4" ht="18" customHeight="1">
      <c r="A31" s="28" t="s">
        <v>126</v>
      </c>
      <c r="B31" s="31"/>
      <c r="C31" s="21"/>
      <c r="D31" s="21"/>
    </row>
    <row r="32" spans="1:4" ht="18" customHeight="1">
      <c r="A32" s="20" t="s">
        <v>113</v>
      </c>
      <c r="B32" s="31"/>
      <c r="C32" s="21">
        <f>SUM(C33:C34)</f>
        <v>45576</v>
      </c>
      <c r="D32" s="21">
        <f>SUM(D33:D34)</f>
        <v>920000</v>
      </c>
    </row>
    <row r="33" spans="1:4" ht="12.75" customHeight="1">
      <c r="A33" s="22" t="s">
        <v>127</v>
      </c>
      <c r="B33" s="96">
        <v>16</v>
      </c>
      <c r="C33" s="23">
        <v>45576</v>
      </c>
      <c r="D33" s="23">
        <v>920000</v>
      </c>
    </row>
    <row r="34" spans="1:4" ht="12.75" customHeight="1">
      <c r="A34" s="22" t="s">
        <v>111</v>
      </c>
      <c r="B34" s="96"/>
      <c r="C34" s="23"/>
      <c r="D34" s="23"/>
    </row>
    <row r="35" spans="1:4" ht="18" customHeight="1">
      <c r="A35" s="28" t="s">
        <v>112</v>
      </c>
      <c r="B35" s="96"/>
      <c r="C35" s="21">
        <f>SUM(C36:C40)</f>
        <v>33649</v>
      </c>
      <c r="D35" s="21">
        <f>SUM(D36:D40)</f>
        <v>1058437</v>
      </c>
    </row>
    <row r="36" spans="1:4" ht="12.75" customHeight="1">
      <c r="A36" s="22" t="s">
        <v>128</v>
      </c>
      <c r="B36" s="96">
        <v>16</v>
      </c>
      <c r="C36" s="23">
        <v>33649</v>
      </c>
      <c r="D36" s="23">
        <v>1053437</v>
      </c>
    </row>
    <row r="37" spans="1:4" ht="12.75" customHeight="1">
      <c r="A37" s="22" t="s">
        <v>129</v>
      </c>
      <c r="B37" s="96">
        <v>13</v>
      </c>
      <c r="C37" s="23"/>
      <c r="D37" s="23"/>
    </row>
    <row r="38" spans="1:4" ht="12.75" customHeight="1">
      <c r="A38" s="22" t="s">
        <v>130</v>
      </c>
      <c r="B38" s="96">
        <v>16</v>
      </c>
      <c r="C38" s="23"/>
      <c r="D38" s="23"/>
    </row>
    <row r="39" spans="1:4" ht="12.75" customHeight="1">
      <c r="A39" s="22" t="s">
        <v>152</v>
      </c>
      <c r="B39" s="96"/>
      <c r="C39" s="23"/>
      <c r="D39" s="23"/>
    </row>
    <row r="40" spans="1:4" ht="12.75" customHeight="1">
      <c r="A40" s="22" t="s">
        <v>40</v>
      </c>
      <c r="B40" s="96">
        <v>22</v>
      </c>
      <c r="C40" s="23"/>
      <c r="D40" s="23">
        <v>5000</v>
      </c>
    </row>
    <row r="41" spans="1:4" ht="27">
      <c r="A41" s="20" t="s">
        <v>131</v>
      </c>
      <c r="B41" s="31"/>
      <c r="C41" s="21">
        <f>C32-C35</f>
        <v>11927</v>
      </c>
      <c r="D41" s="21">
        <f>D32-D35</f>
        <v>-138437</v>
      </c>
    </row>
    <row r="42" spans="1:4" ht="27">
      <c r="A42" s="20" t="s">
        <v>132</v>
      </c>
      <c r="B42" s="31"/>
      <c r="C42" s="21">
        <f>C19+C30+C41</f>
        <v>426252</v>
      </c>
      <c r="D42" s="21">
        <f>D19+D30+D41</f>
        <v>162841</v>
      </c>
    </row>
    <row r="43" spans="1:4" ht="13.5">
      <c r="A43" s="28" t="s">
        <v>133</v>
      </c>
      <c r="B43" s="31"/>
      <c r="C43" s="61">
        <f>18681-56061</f>
        <v>-37380</v>
      </c>
      <c r="D43" s="61">
        <v>-7583</v>
      </c>
    </row>
    <row r="44" spans="1:4" ht="25.5" customHeight="1">
      <c r="A44" s="20" t="s">
        <v>138</v>
      </c>
      <c r="B44" s="96">
        <v>6</v>
      </c>
      <c r="C44" s="21">
        <v>7210</v>
      </c>
      <c r="D44" s="21">
        <v>5899</v>
      </c>
    </row>
    <row r="45" spans="1:4" ht="30.75" customHeight="1">
      <c r="A45" s="20" t="s">
        <v>139</v>
      </c>
      <c r="B45" s="96">
        <v>6</v>
      </c>
      <c r="C45" s="21">
        <f>баланс!C7</f>
        <v>396082</v>
      </c>
      <c r="D45" s="21">
        <v>161157</v>
      </c>
    </row>
    <row r="46" spans="1:4" ht="13.5">
      <c r="A46" s="16"/>
      <c r="B46" s="24"/>
      <c r="C46" s="17"/>
      <c r="D46" s="17"/>
    </row>
    <row r="47" spans="1:5" ht="13.5">
      <c r="A47" s="72" t="s">
        <v>105</v>
      </c>
      <c r="B47" s="94" t="s">
        <v>100</v>
      </c>
      <c r="C47" s="93"/>
      <c r="E47" s="71"/>
    </row>
    <row r="48" spans="2:5" ht="13.5">
      <c r="B48" s="95"/>
      <c r="C48" s="95"/>
      <c r="D48" s="71"/>
      <c r="E48" s="71"/>
    </row>
    <row r="49" spans="1:5" ht="13.5" customHeight="1">
      <c r="A49" s="25" t="s">
        <v>106</v>
      </c>
      <c r="B49" s="107" t="s">
        <v>104</v>
      </c>
      <c r="C49" s="107"/>
      <c r="D49" s="107"/>
      <c r="E49" s="25"/>
    </row>
    <row r="50" spans="1:4" ht="13.5">
      <c r="A50" s="93"/>
      <c r="B50" s="18"/>
      <c r="C50" s="18"/>
      <c r="D50"/>
    </row>
    <row r="51" spans="1:4" ht="12.75">
      <c r="A51" s="117" t="s">
        <v>32</v>
      </c>
      <c r="B51" s="117"/>
      <c r="C51" s="117"/>
      <c r="D51" s="117"/>
    </row>
    <row r="52" spans="3:4" ht="13.5">
      <c r="C52" s="102">
        <f>C42+C43+C44-C45</f>
        <v>0</v>
      </c>
      <c r="D52" s="102">
        <f>D42+D43+D44-D45</f>
        <v>0</v>
      </c>
    </row>
  </sheetData>
  <sheetProtection/>
  <mergeCells count="6">
    <mergeCell ref="B49:D49"/>
    <mergeCell ref="A1:D1"/>
    <mergeCell ref="A3:D3"/>
    <mergeCell ref="A2:D2"/>
    <mergeCell ref="A51:D51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4">
      <selection activeCell="A64" sqref="A64:D64"/>
    </sheetView>
  </sheetViews>
  <sheetFormatPr defaultColWidth="9.140625" defaultRowHeight="12.75"/>
  <cols>
    <col min="1" max="1" width="46.140625" style="1" customWidth="1"/>
    <col min="2" max="2" width="6.28125" style="42" customWidth="1"/>
    <col min="3" max="4" width="13.7109375" style="1" customWidth="1"/>
  </cols>
  <sheetData>
    <row r="1" spans="1:2" ht="13.5">
      <c r="A1" s="1" t="s">
        <v>77</v>
      </c>
      <c r="B1" s="41"/>
    </row>
    <row r="2" spans="2:5" ht="13.5">
      <c r="B2" s="35"/>
      <c r="C2" s="35"/>
      <c r="D2" s="35"/>
      <c r="E2" s="105"/>
    </row>
    <row r="3" spans="1:3" s="27" customFormat="1" ht="13.5">
      <c r="A3" s="35" t="s">
        <v>151</v>
      </c>
      <c r="C3" s="106">
        <f>C5</f>
        <v>44742</v>
      </c>
    </row>
    <row r="4" spans="1:2" ht="15" customHeight="1">
      <c r="A4" s="115" t="s">
        <v>96</v>
      </c>
      <c r="B4" s="115"/>
    </row>
    <row r="5" spans="1:4" ht="27.75" customHeight="1">
      <c r="A5" s="36"/>
      <c r="B5" s="4" t="s">
        <v>76</v>
      </c>
      <c r="C5" s="12">
        <f>'форма 2'!C9</f>
        <v>44742</v>
      </c>
      <c r="D5" s="12">
        <v>44561</v>
      </c>
    </row>
    <row r="6" spans="1:4" s="9" customFormat="1" ht="19.5" customHeight="1">
      <c r="A6" s="7" t="s">
        <v>21</v>
      </c>
      <c r="B6" s="5" t="s">
        <v>20</v>
      </c>
      <c r="C6" s="8" t="s">
        <v>20</v>
      </c>
      <c r="D6" s="8" t="s">
        <v>20</v>
      </c>
    </row>
    <row r="7" spans="1:4" s="9" customFormat="1" ht="13.5">
      <c r="A7" s="46" t="s">
        <v>58</v>
      </c>
      <c r="B7" s="47" t="s">
        <v>47</v>
      </c>
      <c r="C7" s="45">
        <f>169+395913</f>
        <v>396082</v>
      </c>
      <c r="D7" s="45">
        <f>366+6844</f>
        <v>7210</v>
      </c>
    </row>
    <row r="8" spans="1:5" s="9" customFormat="1" ht="15" customHeight="1">
      <c r="A8" s="46" t="s">
        <v>41</v>
      </c>
      <c r="B8" s="47" t="s">
        <v>48</v>
      </c>
      <c r="C8" s="45">
        <v>13600</v>
      </c>
      <c r="D8" s="45">
        <v>625</v>
      </c>
      <c r="E8" s="100"/>
    </row>
    <row r="9" spans="1:4" s="9" customFormat="1" ht="30" customHeight="1" hidden="1">
      <c r="A9" s="46" t="s">
        <v>24</v>
      </c>
      <c r="B9" s="47" t="s">
        <v>5</v>
      </c>
      <c r="C9" s="45"/>
      <c r="D9" s="45"/>
    </row>
    <row r="10" spans="1:4" s="9" customFormat="1" ht="15" customHeight="1" hidden="1">
      <c r="A10" s="46" t="s">
        <v>25</v>
      </c>
      <c r="B10" s="47" t="s">
        <v>6</v>
      </c>
      <c r="C10" s="45"/>
      <c r="D10" s="45"/>
    </row>
    <row r="11" spans="1:4" s="9" customFormat="1" ht="15" customHeight="1" hidden="1">
      <c r="A11" s="46" t="s">
        <v>26</v>
      </c>
      <c r="B11" s="47" t="s">
        <v>7</v>
      </c>
      <c r="C11" s="45"/>
      <c r="D11" s="45"/>
    </row>
    <row r="12" spans="1:4" s="9" customFormat="1" ht="15" customHeight="1">
      <c r="A12" s="46" t="s">
        <v>55</v>
      </c>
      <c r="B12" s="47" t="s">
        <v>50</v>
      </c>
      <c r="C12" s="45">
        <v>686693</v>
      </c>
      <c r="D12" s="45">
        <f>548637-1843</f>
        <v>546794</v>
      </c>
    </row>
    <row r="13" spans="1:4" s="9" customFormat="1" ht="13.5">
      <c r="A13" s="46" t="s">
        <v>43</v>
      </c>
      <c r="B13" s="47" t="s">
        <v>49</v>
      </c>
      <c r="C13" s="45">
        <f>873702+8139-2000</f>
        <v>879841</v>
      </c>
      <c r="D13" s="45">
        <f>818915-2000+6711</f>
        <v>823626</v>
      </c>
    </row>
    <row r="14" spans="1:4" s="9" customFormat="1" ht="15" customHeight="1">
      <c r="A14" s="46" t="s">
        <v>4</v>
      </c>
      <c r="B14" s="47" t="s">
        <v>51</v>
      </c>
      <c r="C14" s="45">
        <v>1289838</v>
      </c>
      <c r="D14" s="45">
        <v>872013</v>
      </c>
    </row>
    <row r="15" spans="1:4" s="9" customFormat="1" ht="15" customHeight="1">
      <c r="A15" s="46" t="s">
        <v>56</v>
      </c>
      <c r="B15" s="47"/>
      <c r="C15" s="45">
        <v>49536</v>
      </c>
      <c r="D15" s="45">
        <v>18020</v>
      </c>
    </row>
    <row r="16" spans="1:4" s="9" customFormat="1" ht="15" customHeight="1" thickBot="1">
      <c r="A16" s="74" t="s">
        <v>8</v>
      </c>
      <c r="B16" s="88" t="s">
        <v>52</v>
      </c>
      <c r="C16" s="76">
        <f>778+5531+504+1475+47190+587148-5906</f>
        <v>636720</v>
      </c>
      <c r="D16" s="76">
        <f>57+4063+14530+964+441+567087-4063-943</f>
        <v>582136</v>
      </c>
    </row>
    <row r="17" spans="1:4" s="9" customFormat="1" ht="19.5" customHeight="1" thickBot="1">
      <c r="A17" s="80" t="s">
        <v>57</v>
      </c>
      <c r="B17" s="81"/>
      <c r="C17" s="82">
        <f>SUM(C7:C16)</f>
        <v>3952310</v>
      </c>
      <c r="D17" s="82">
        <f>SUM(D7:D16)</f>
        <v>2850424</v>
      </c>
    </row>
    <row r="18" spans="1:4" s="9" customFormat="1" ht="19.5" customHeight="1">
      <c r="A18" s="77" t="s">
        <v>59</v>
      </c>
      <c r="B18" s="78" t="s">
        <v>20</v>
      </c>
      <c r="C18" s="79" t="s">
        <v>20</v>
      </c>
      <c r="D18" s="79" t="s">
        <v>20</v>
      </c>
    </row>
    <row r="19" spans="1:4" s="9" customFormat="1" ht="15" customHeight="1" hidden="1">
      <c r="A19" s="46" t="s">
        <v>22</v>
      </c>
      <c r="B19" s="50">
        <v>110</v>
      </c>
      <c r="C19" s="45"/>
      <c r="D19" s="45"/>
    </row>
    <row r="20" spans="1:4" s="9" customFormat="1" ht="13.5" hidden="1">
      <c r="A20" s="46" t="s">
        <v>23</v>
      </c>
      <c r="B20" s="50">
        <v>111</v>
      </c>
      <c r="C20" s="45"/>
      <c r="D20" s="45"/>
    </row>
    <row r="21" spans="1:4" s="9" customFormat="1" ht="28.5" customHeight="1" hidden="1">
      <c r="A21" s="46" t="s">
        <v>24</v>
      </c>
      <c r="B21" s="50">
        <v>112</v>
      </c>
      <c r="C21" s="45"/>
      <c r="D21" s="45"/>
    </row>
    <row r="22" spans="1:4" s="9" customFormat="1" ht="15" customHeight="1" hidden="1">
      <c r="A22" s="46" t="s">
        <v>25</v>
      </c>
      <c r="B22" s="50">
        <v>113</v>
      </c>
      <c r="C22" s="45"/>
      <c r="D22" s="45"/>
    </row>
    <row r="23" spans="1:4" s="9" customFormat="1" ht="15" customHeight="1" hidden="1">
      <c r="A23" s="46" t="s">
        <v>27</v>
      </c>
      <c r="B23" s="50">
        <v>114</v>
      </c>
      <c r="C23" s="45"/>
      <c r="D23" s="45"/>
    </row>
    <row r="24" spans="1:4" s="9" customFormat="1" ht="15" customHeight="1">
      <c r="A24" s="46" t="s">
        <v>150</v>
      </c>
      <c r="B24" s="50"/>
      <c r="C24" s="45">
        <v>2836</v>
      </c>
      <c r="D24" s="45">
        <v>2836</v>
      </c>
    </row>
    <row r="25" spans="1:4" s="9" customFormat="1" ht="15" customHeight="1">
      <c r="A25" s="46" t="s">
        <v>9</v>
      </c>
      <c r="B25" s="50">
        <v>12</v>
      </c>
      <c r="C25" s="45">
        <f>3311346-980207</f>
        <v>2331139</v>
      </c>
      <c r="D25" s="45">
        <f>3288415-870783</f>
        <v>2417632</v>
      </c>
    </row>
    <row r="26" spans="1:4" s="9" customFormat="1" ht="15" customHeight="1">
      <c r="A26" s="46" t="s">
        <v>42</v>
      </c>
      <c r="B26" s="50">
        <v>13</v>
      </c>
      <c r="C26" s="45">
        <f>267253-181350</f>
        <v>85903</v>
      </c>
      <c r="D26" s="45">
        <f>267253-152716</f>
        <v>114537</v>
      </c>
    </row>
    <row r="27" spans="1:4" s="9" customFormat="1" ht="15" customHeight="1">
      <c r="A27" s="46" t="s">
        <v>10</v>
      </c>
      <c r="B27" s="50"/>
      <c r="C27" s="45"/>
      <c r="D27" s="45"/>
    </row>
    <row r="28" spans="1:4" s="9" customFormat="1" ht="15" customHeight="1">
      <c r="A28" s="46" t="s">
        <v>11</v>
      </c>
      <c r="B28" s="50">
        <v>15</v>
      </c>
      <c r="C28" s="45"/>
      <c r="D28" s="45">
        <v>943</v>
      </c>
    </row>
    <row r="29" spans="1:4" s="9" customFormat="1" ht="19.5" customHeight="1" thickBot="1">
      <c r="A29" s="83" t="s">
        <v>60</v>
      </c>
      <c r="B29" s="84"/>
      <c r="C29" s="85">
        <f>SUM(C24:C28)</f>
        <v>2419878</v>
      </c>
      <c r="D29" s="85">
        <f>SUM(D24:D28)</f>
        <v>2535948</v>
      </c>
    </row>
    <row r="30" spans="1:4" s="9" customFormat="1" ht="19.5" customHeight="1" thickBot="1">
      <c r="A30" s="80" t="s">
        <v>61</v>
      </c>
      <c r="B30" s="81" t="s">
        <v>20</v>
      </c>
      <c r="C30" s="82">
        <f>C29+C17</f>
        <v>6372188</v>
      </c>
      <c r="D30" s="82">
        <f>D29+D17</f>
        <v>5386372</v>
      </c>
    </row>
    <row r="31" spans="1:4" s="9" customFormat="1" ht="19.5" customHeight="1">
      <c r="A31" s="86" t="s">
        <v>28</v>
      </c>
      <c r="B31" s="87"/>
      <c r="C31" s="87"/>
      <c r="D31" s="87"/>
    </row>
    <row r="32" spans="1:4" s="9" customFormat="1" ht="19.5" customHeight="1">
      <c r="A32" s="48" t="s">
        <v>62</v>
      </c>
      <c r="B32" s="49" t="s">
        <v>20</v>
      </c>
      <c r="C32" s="51" t="s">
        <v>20</v>
      </c>
      <c r="D32" s="51" t="s">
        <v>20</v>
      </c>
    </row>
    <row r="33" spans="1:4" s="9" customFormat="1" ht="15" customHeight="1">
      <c r="A33" s="46" t="s">
        <v>63</v>
      </c>
      <c r="B33" s="50">
        <v>16</v>
      </c>
      <c r="C33" s="45">
        <v>962005</v>
      </c>
      <c r="D33" s="45">
        <f>982249+1492</f>
        <v>983741</v>
      </c>
    </row>
    <row r="34" spans="1:4" s="9" customFormat="1" ht="15" customHeight="1">
      <c r="A34" s="46" t="s">
        <v>30</v>
      </c>
      <c r="B34" s="50"/>
      <c r="C34" s="45">
        <v>101252</v>
      </c>
      <c r="D34" s="45">
        <v>69898</v>
      </c>
    </row>
    <row r="35" spans="1:4" s="9" customFormat="1" ht="15" customHeight="1">
      <c r="A35" s="46" t="s">
        <v>54</v>
      </c>
      <c r="B35" s="50">
        <v>17</v>
      </c>
      <c r="C35" s="45">
        <v>991289</v>
      </c>
      <c r="D35" s="45">
        <v>312939</v>
      </c>
    </row>
    <row r="36" spans="1:4" s="9" customFormat="1" ht="15" customHeight="1">
      <c r="A36" s="46" t="s">
        <v>46</v>
      </c>
      <c r="B36" s="50">
        <v>13</v>
      </c>
      <c r="C36" s="45">
        <v>31490</v>
      </c>
      <c r="D36" s="45">
        <f>65126-3999</f>
        <v>61127</v>
      </c>
    </row>
    <row r="37" spans="1:4" s="9" customFormat="1" ht="15" customHeight="1">
      <c r="A37" s="46" t="s">
        <v>64</v>
      </c>
      <c r="B37" s="50">
        <v>18</v>
      </c>
      <c r="C37" s="45">
        <v>1040</v>
      </c>
      <c r="D37" s="45">
        <v>3999</v>
      </c>
    </row>
    <row r="38" spans="1:4" s="9" customFormat="1" ht="15" customHeight="1">
      <c r="A38" s="46" t="s">
        <v>53</v>
      </c>
      <c r="B38" s="50">
        <v>22</v>
      </c>
      <c r="C38" s="45">
        <v>211200</v>
      </c>
      <c r="D38" s="45">
        <v>200</v>
      </c>
    </row>
    <row r="39" spans="1:4" s="9" customFormat="1" ht="15" customHeight="1">
      <c r="A39" s="46" t="s">
        <v>29</v>
      </c>
      <c r="B39" s="50">
        <v>19</v>
      </c>
      <c r="C39" s="45">
        <v>87783</v>
      </c>
      <c r="D39" s="45">
        <v>73724</v>
      </c>
    </row>
    <row r="40" spans="1:4" s="9" customFormat="1" ht="15" customHeight="1">
      <c r="A40" s="74" t="s">
        <v>145</v>
      </c>
      <c r="B40" s="75">
        <v>20</v>
      </c>
      <c r="C40" s="76">
        <v>20977</v>
      </c>
      <c r="D40" s="76">
        <v>92173</v>
      </c>
    </row>
    <row r="41" spans="1:4" s="9" customFormat="1" ht="15" customHeight="1">
      <c r="A41" s="74" t="s">
        <v>146</v>
      </c>
      <c r="B41" s="75">
        <v>20</v>
      </c>
      <c r="C41" s="76">
        <v>18676</v>
      </c>
      <c r="D41" s="76">
        <v>19054</v>
      </c>
    </row>
    <row r="42" spans="1:4" s="9" customFormat="1" ht="15" customHeight="1" thickBot="1">
      <c r="A42" s="74" t="s">
        <v>12</v>
      </c>
      <c r="B42" s="75">
        <v>20</v>
      </c>
      <c r="C42" s="76">
        <f>4460+408215+1</f>
        <v>412676</v>
      </c>
      <c r="D42" s="76">
        <f>5240+73906</f>
        <v>79146</v>
      </c>
    </row>
    <row r="43" spans="1:4" s="9" customFormat="1" ht="19.5" customHeight="1" thickBot="1">
      <c r="A43" s="80" t="s">
        <v>65</v>
      </c>
      <c r="B43" s="81"/>
      <c r="C43" s="82">
        <f>SUM(C33:C42)</f>
        <v>2838388</v>
      </c>
      <c r="D43" s="82">
        <f>SUM(D33:D42)</f>
        <v>1696001</v>
      </c>
    </row>
    <row r="44" spans="1:4" s="9" customFormat="1" ht="19.5" customHeight="1">
      <c r="A44" s="77" t="s">
        <v>66</v>
      </c>
      <c r="B44" s="78" t="s">
        <v>20</v>
      </c>
      <c r="C44" s="79" t="s">
        <v>20</v>
      </c>
      <c r="D44" s="79" t="s">
        <v>20</v>
      </c>
    </row>
    <row r="45" spans="1:4" s="9" customFormat="1" ht="15" customHeight="1">
      <c r="A45" s="46" t="s">
        <v>67</v>
      </c>
      <c r="B45" s="50">
        <v>16</v>
      </c>
      <c r="C45" s="45">
        <v>55743</v>
      </c>
      <c r="D45" s="45">
        <v>23572</v>
      </c>
    </row>
    <row r="46" spans="1:4" s="9" customFormat="1" ht="15" customHeight="1">
      <c r="A46" s="46" t="s">
        <v>68</v>
      </c>
      <c r="B46" s="50">
        <v>13</v>
      </c>
      <c r="C46" s="45">
        <v>69015</v>
      </c>
      <c r="D46" s="45">
        <v>69015</v>
      </c>
    </row>
    <row r="47" spans="1:4" s="9" customFormat="1" ht="15" customHeight="1">
      <c r="A47" s="46" t="s">
        <v>69</v>
      </c>
      <c r="B47" s="50">
        <v>18</v>
      </c>
      <c r="C47" s="45"/>
      <c r="D47" s="45"/>
    </row>
    <row r="48" spans="1:4" s="9" customFormat="1" ht="13.5">
      <c r="A48" s="46" t="s">
        <v>13</v>
      </c>
      <c r="B48" s="50">
        <v>31</v>
      </c>
      <c r="C48" s="45">
        <v>353112</v>
      </c>
      <c r="D48" s="45">
        <v>353112</v>
      </c>
    </row>
    <row r="49" spans="1:4" s="9" customFormat="1" ht="14.25" thickBot="1">
      <c r="A49" s="74" t="s">
        <v>14</v>
      </c>
      <c r="B49" s="75">
        <v>21</v>
      </c>
      <c r="C49" s="76">
        <v>21490</v>
      </c>
      <c r="D49" s="76">
        <v>21490</v>
      </c>
    </row>
    <row r="50" spans="1:4" s="9" customFormat="1" ht="19.5" customHeight="1" thickBot="1">
      <c r="A50" s="80" t="s">
        <v>70</v>
      </c>
      <c r="B50" s="81"/>
      <c r="C50" s="82">
        <f>SUM(C45:C49)</f>
        <v>499360</v>
      </c>
      <c r="D50" s="82">
        <f>SUM(D45:D49)</f>
        <v>467189</v>
      </c>
    </row>
    <row r="51" spans="1:4" s="9" customFormat="1" ht="19.5" customHeight="1">
      <c r="A51" s="77" t="s">
        <v>71</v>
      </c>
      <c r="B51" s="78"/>
      <c r="C51" s="79" t="s">
        <v>20</v>
      </c>
      <c r="D51" s="79" t="s">
        <v>20</v>
      </c>
    </row>
    <row r="52" spans="1:4" s="9" customFormat="1" ht="15" customHeight="1">
      <c r="A52" s="46" t="s">
        <v>72</v>
      </c>
      <c r="B52" s="50">
        <v>22</v>
      </c>
      <c r="C52" s="45">
        <v>600190</v>
      </c>
      <c r="D52" s="45">
        <v>600190</v>
      </c>
    </row>
    <row r="53" spans="1:4" s="9" customFormat="1" ht="15" customHeight="1">
      <c r="A53" s="46" t="s">
        <v>15</v>
      </c>
      <c r="B53" s="50"/>
      <c r="C53" s="45">
        <v>19</v>
      </c>
      <c r="D53" s="45">
        <v>19</v>
      </c>
    </row>
    <row r="54" spans="1:4" s="9" customFormat="1" ht="15" customHeight="1">
      <c r="A54" s="46" t="s">
        <v>16</v>
      </c>
      <c r="B54" s="50"/>
      <c r="C54" s="45">
        <v>-190</v>
      </c>
      <c r="D54" s="45">
        <v>-190</v>
      </c>
    </row>
    <row r="55" spans="1:5" s="9" customFormat="1" ht="15" customHeight="1">
      <c r="A55" s="46" t="s">
        <v>73</v>
      </c>
      <c r="B55" s="50"/>
      <c r="C55" s="59">
        <v>367772</v>
      </c>
      <c r="D55" s="59">
        <v>391003</v>
      </c>
      <c r="E55" s="100"/>
    </row>
    <row r="56" spans="1:4" s="9" customFormat="1" ht="15" customHeight="1" thickBot="1">
      <c r="A56" s="46" t="s">
        <v>74</v>
      </c>
      <c r="B56" s="75"/>
      <c r="C56" s="76">
        <f>D56+'форма 2'!C23+E55-211000+23231</f>
        <v>2066648.6</v>
      </c>
      <c r="D56" s="76">
        <v>2232160</v>
      </c>
    </row>
    <row r="57" spans="1:4" s="9" customFormat="1" ht="16.5" customHeight="1" thickBot="1">
      <c r="A57" s="83" t="s">
        <v>37</v>
      </c>
      <c r="B57" s="89"/>
      <c r="C57" s="90">
        <f>SUM(C52:C56)</f>
        <v>3034439.6</v>
      </c>
      <c r="D57" s="90">
        <f>SUM(D52:D56)</f>
        <v>3223182</v>
      </c>
    </row>
    <row r="58" spans="1:4" s="9" customFormat="1" ht="19.5" customHeight="1" thickBot="1">
      <c r="A58" s="80" t="s">
        <v>75</v>
      </c>
      <c r="B58" s="81" t="s">
        <v>20</v>
      </c>
      <c r="C58" s="82">
        <f>C57+C50+C43</f>
        <v>6372187.6</v>
      </c>
      <c r="D58" s="82">
        <f>D57+D50+D43</f>
        <v>5386372</v>
      </c>
    </row>
    <row r="59" spans="1:4" s="9" customFormat="1" ht="13.5">
      <c r="A59" s="52" t="s">
        <v>154</v>
      </c>
      <c r="B59" s="6" t="s">
        <v>20</v>
      </c>
      <c r="C59" s="11">
        <v>5057</v>
      </c>
      <c r="D59" s="11">
        <v>5372</v>
      </c>
    </row>
    <row r="60" spans="1:4" s="9" customFormat="1" ht="13.5">
      <c r="A60" s="53"/>
      <c r="B60" s="6"/>
      <c r="C60" s="54"/>
      <c r="D60" s="54"/>
    </row>
    <row r="61" spans="1:5" ht="13.5">
      <c r="A61" s="72" t="s">
        <v>140</v>
      </c>
      <c r="B61" s="112" t="s">
        <v>100</v>
      </c>
      <c r="C61" s="112"/>
      <c r="D61" s="112"/>
      <c r="E61" s="112"/>
    </row>
    <row r="62" spans="2:4" ht="13.5">
      <c r="B62" s="95"/>
      <c r="C62" s="95"/>
      <c r="D62" s="71"/>
    </row>
    <row r="63" spans="1:4" ht="13.5">
      <c r="A63" s="25" t="s">
        <v>141</v>
      </c>
      <c r="B63" s="107" t="s">
        <v>104</v>
      </c>
      <c r="C63" s="107"/>
      <c r="D63" s="107"/>
    </row>
    <row r="64" spans="1:4" ht="12.75">
      <c r="A64" s="117" t="s">
        <v>32</v>
      </c>
      <c r="B64" s="117"/>
      <c r="C64" s="117"/>
      <c r="D64" s="117"/>
    </row>
    <row r="66" spans="1:4" ht="13.5">
      <c r="A66" s="55"/>
      <c r="B66" s="56"/>
      <c r="C66" s="103"/>
      <c r="D66" s="103"/>
    </row>
  </sheetData>
  <sheetProtection/>
  <mergeCells count="4">
    <mergeCell ref="A4:B4"/>
    <mergeCell ref="B63:D63"/>
    <mergeCell ref="A64:D64"/>
    <mergeCell ref="B61:E61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4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  <col min="5" max="5" width="13.140625" style="0" customWidth="1"/>
  </cols>
  <sheetData>
    <row r="4" ht="13.5">
      <c r="A4" s="1" t="s">
        <v>78</v>
      </c>
    </row>
    <row r="6" spans="1:4" ht="13.5">
      <c r="A6" s="112" t="s">
        <v>79</v>
      </c>
      <c r="B6" s="112"/>
      <c r="C6" s="112"/>
      <c r="D6" s="112"/>
    </row>
    <row r="7" spans="1:4" ht="13.5">
      <c r="A7" s="35" t="s">
        <v>153</v>
      </c>
      <c r="B7" s="35"/>
      <c r="C7" s="35"/>
      <c r="D7" s="35"/>
    </row>
    <row r="8" spans="1:2" ht="13.5">
      <c r="A8" s="116" t="s">
        <v>96</v>
      </c>
      <c r="B8" s="116"/>
    </row>
    <row r="9" spans="1:4" ht="35.25" customHeight="1">
      <c r="A9" s="10"/>
      <c r="B9" s="4" t="s">
        <v>76</v>
      </c>
      <c r="C9" s="12">
        <v>44742</v>
      </c>
      <c r="D9" s="12">
        <v>44377</v>
      </c>
    </row>
    <row r="10" spans="1:4" ht="13.5">
      <c r="A10" s="13" t="s">
        <v>33</v>
      </c>
      <c r="B10" s="98" t="s">
        <v>84</v>
      </c>
      <c r="C10" s="43">
        <v>4839151</v>
      </c>
      <c r="D10" s="43">
        <v>3418538</v>
      </c>
    </row>
    <row r="11" spans="1:4" ht="13.5">
      <c r="A11" s="13" t="s">
        <v>34</v>
      </c>
      <c r="B11" s="98" t="s">
        <v>85</v>
      </c>
      <c r="C11" s="43">
        <v>3981522</v>
      </c>
      <c r="D11" s="43">
        <v>2405593</v>
      </c>
    </row>
    <row r="12" spans="1:4" ht="13.5">
      <c r="A12" s="14" t="s">
        <v>80</v>
      </c>
      <c r="B12" s="99"/>
      <c r="C12" s="44">
        <f>C10-C11</f>
        <v>857629</v>
      </c>
      <c r="D12" s="44">
        <f>D10-D11</f>
        <v>1012945</v>
      </c>
    </row>
    <row r="13" spans="1:4" ht="13.5">
      <c r="A13" s="13" t="s">
        <v>18</v>
      </c>
      <c r="B13" s="98" t="s">
        <v>86</v>
      </c>
      <c r="C13" s="43">
        <v>142491</v>
      </c>
      <c r="D13" s="43">
        <v>109833</v>
      </c>
    </row>
    <row r="14" spans="1:4" ht="13.5">
      <c r="A14" s="13" t="s">
        <v>2</v>
      </c>
      <c r="B14" s="98" t="s">
        <v>87</v>
      </c>
      <c r="C14" s="43">
        <v>660803</v>
      </c>
      <c r="D14" s="43">
        <v>678872</v>
      </c>
    </row>
    <row r="15" spans="1:4" ht="13.5">
      <c r="A15" s="13" t="s">
        <v>1</v>
      </c>
      <c r="B15" s="98" t="s">
        <v>88</v>
      </c>
      <c r="C15" s="43">
        <f>60095-27573</f>
        <v>32522</v>
      </c>
      <c r="D15" s="43">
        <f>11439-272</f>
        <v>11167</v>
      </c>
    </row>
    <row r="16" spans="1:4" ht="13.5">
      <c r="A16" s="13" t="s">
        <v>3</v>
      </c>
      <c r="B16" s="98" t="s">
        <v>89</v>
      </c>
      <c r="C16" s="43">
        <f>70352-27573</f>
        <v>42779</v>
      </c>
      <c r="D16" s="43">
        <f>10803-272</f>
        <v>10531</v>
      </c>
    </row>
    <row r="17" spans="1:4" ht="13.5">
      <c r="A17" s="14" t="s">
        <v>81</v>
      </c>
      <c r="B17" s="99"/>
      <c r="C17" s="44">
        <f>C12-C13-C14-C16+C15</f>
        <v>44078</v>
      </c>
      <c r="D17" s="44">
        <f>D12-D13-D14-D16+D15</f>
        <v>224876</v>
      </c>
    </row>
    <row r="18" spans="1:4" ht="13.5">
      <c r="A18" s="13" t="s">
        <v>82</v>
      </c>
      <c r="B18" s="98" t="s">
        <v>90</v>
      </c>
      <c r="C18" s="58">
        <v>57169</v>
      </c>
      <c r="D18" s="58">
        <v>25182</v>
      </c>
    </row>
    <row r="19" spans="1:4" ht="13.5">
      <c r="A19" s="13" t="s">
        <v>83</v>
      </c>
      <c r="B19" s="98" t="s">
        <v>91</v>
      </c>
      <c r="C19" s="58">
        <v>73425</v>
      </c>
      <c r="D19" s="58">
        <v>72833</v>
      </c>
    </row>
    <row r="20" spans="1:4" ht="13.5">
      <c r="A20" s="14" t="s">
        <v>92</v>
      </c>
      <c r="B20" s="4"/>
      <c r="C20" s="44">
        <f>C17-C19+C18</f>
        <v>27822</v>
      </c>
      <c r="D20" s="44">
        <f>D17-D19+D18</f>
        <v>177225</v>
      </c>
    </row>
    <row r="21" spans="1:4" ht="13.5">
      <c r="A21" s="13" t="s">
        <v>19</v>
      </c>
      <c r="B21" s="5">
        <v>31</v>
      </c>
      <c r="C21" s="43">
        <f>C20*20%</f>
        <v>5564.400000000001</v>
      </c>
      <c r="D21" s="43">
        <f>D20*20%</f>
        <v>35445</v>
      </c>
    </row>
    <row r="22" spans="1:4" ht="13.5">
      <c r="A22" s="13"/>
      <c r="B22" s="5"/>
      <c r="C22" s="43"/>
      <c r="D22" s="43"/>
    </row>
    <row r="23" spans="1:4" ht="13.5">
      <c r="A23" s="14" t="s">
        <v>93</v>
      </c>
      <c r="B23" s="15"/>
      <c r="C23" s="44">
        <f>C20-C21</f>
        <v>22257.6</v>
      </c>
      <c r="D23" s="44">
        <f>D20-D21</f>
        <v>141780</v>
      </c>
    </row>
    <row r="24" spans="1:4" ht="19.5" customHeight="1">
      <c r="A24" s="13" t="s">
        <v>94</v>
      </c>
      <c r="B24" s="15"/>
      <c r="C24" s="44"/>
      <c r="D24" s="44"/>
    </row>
    <row r="25" spans="1:4" ht="13.5">
      <c r="A25" s="14" t="s">
        <v>95</v>
      </c>
      <c r="B25" s="32"/>
      <c r="C25" s="91">
        <f>C23/600</f>
        <v>37.096</v>
      </c>
      <c r="D25" s="91">
        <f>D23/600</f>
        <v>236.3</v>
      </c>
    </row>
    <row r="27" spans="1:3" ht="13.5">
      <c r="A27" s="72" t="s">
        <v>134</v>
      </c>
      <c r="B27" s="1" t="s">
        <v>136</v>
      </c>
      <c r="C27" s="73" t="s">
        <v>100</v>
      </c>
    </row>
    <row r="28" spans="1:4" ht="27" customHeight="1">
      <c r="A28" s="25" t="s">
        <v>135</v>
      </c>
      <c r="B28" s="1" t="s">
        <v>137</v>
      </c>
      <c r="C28" s="107" t="s">
        <v>104</v>
      </c>
      <c r="D28" s="107"/>
    </row>
    <row r="29" spans="1:4" ht="13.5">
      <c r="A29" s="93"/>
      <c r="B29" s="18"/>
      <c r="C29" s="18"/>
      <c r="D29"/>
    </row>
    <row r="30" spans="1:4" ht="13.5">
      <c r="A30" s="110" t="s">
        <v>32</v>
      </c>
      <c r="B30" s="110"/>
      <c r="C30" s="110"/>
      <c r="D30" s="110"/>
    </row>
    <row r="31" spans="3:4" ht="13.5">
      <c r="C31" s="68"/>
      <c r="D31" s="66"/>
    </row>
    <row r="32" spans="3:4" ht="13.5">
      <c r="C32" s="65"/>
      <c r="D32" s="67"/>
    </row>
    <row r="33" spans="3:4" ht="13.5">
      <c r="C33" s="65"/>
      <c r="D33" s="66"/>
    </row>
    <row r="34" spans="3:4" ht="13.5">
      <c r="C34" s="68"/>
      <c r="D34" s="66"/>
    </row>
    <row r="35" spans="3:4" ht="13.5">
      <c r="C35" s="65"/>
      <c r="D35" s="67"/>
    </row>
    <row r="36" spans="3:4" ht="13.5">
      <c r="C36" s="65"/>
      <c r="D36" s="67"/>
    </row>
    <row r="37" spans="3:4" ht="13.5">
      <c r="C37" s="68"/>
      <c r="D37" s="66"/>
    </row>
    <row r="38" spans="3:4" ht="13.5">
      <c r="C38" s="65"/>
      <c r="D38" s="67"/>
    </row>
    <row r="39" spans="3:4" ht="13.5">
      <c r="C39" s="68"/>
      <c r="D39" s="66"/>
    </row>
    <row r="40" spans="3:4" ht="13.5">
      <c r="C40" s="68"/>
      <c r="D40" s="66"/>
    </row>
    <row r="41" spans="3:4" ht="13.5">
      <c r="C41" s="68"/>
      <c r="D41" s="66"/>
    </row>
    <row r="42" spans="3:4" ht="13.5">
      <c r="C42" s="65"/>
      <c r="D42" s="67"/>
    </row>
    <row r="43" spans="3:4" ht="13.5">
      <c r="C43" s="65"/>
      <c r="D43" s="67"/>
    </row>
    <row r="44" spans="3:4" ht="13.5">
      <c r="C44" s="65"/>
      <c r="D44" s="66"/>
    </row>
    <row r="45" spans="3:4" ht="13.5">
      <c r="C45" s="68"/>
      <c r="D45" s="66"/>
    </row>
    <row r="46" spans="3:4" ht="13.5">
      <c r="C46" s="68"/>
      <c r="D46" s="67"/>
    </row>
    <row r="47" spans="3:4" ht="13.5">
      <c r="C47" s="65"/>
      <c r="D47" s="66"/>
    </row>
    <row r="48" spans="3:4" ht="13.5">
      <c r="C48" s="65"/>
      <c r="D48" s="67"/>
    </row>
    <row r="49" spans="3:4" ht="13.5">
      <c r="C49" s="69"/>
      <c r="D49" s="69"/>
    </row>
  </sheetData>
  <sheetProtection/>
  <mergeCells count="4">
    <mergeCell ref="A6:D6"/>
    <mergeCell ref="A8:B8"/>
    <mergeCell ref="A30:D30"/>
    <mergeCell ref="C28:D28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2022-07-18T11:04:42Z</cp:lastPrinted>
  <dcterms:created xsi:type="dcterms:W3CDTF">1996-10-08T23:32:33Z</dcterms:created>
  <dcterms:modified xsi:type="dcterms:W3CDTF">2022-07-18T11:05:59Z</dcterms:modified>
  <cp:category/>
  <cp:version/>
  <cp:contentType/>
  <cp:contentStatus/>
</cp:coreProperties>
</file>