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779"/>
  <workbookPr codeName="ЭтаКнига"/>
  <bookViews>
    <workbookView xWindow="64801" yWindow="420" windowWidth="12120" windowHeight="6510" tabRatio="673" activeTab="0"/>
  </bookViews>
  <sheets>
    <sheet name="Ф.1" sheetId="1" r:id="rId1"/>
    <sheet name="Ф.2" sheetId="2" r:id="rId2"/>
  </sheets>
  <definedNames/>
  <calcPr fullCalcOnLoad="1"/>
</workbook>
</file>

<file path=xl/sharedStrings.xml><?xml version="1.0" encoding="utf-8"?>
<sst xmlns="http://schemas.openxmlformats.org/spreadsheetml/2006/main" count="693" uniqueCount="603">
  <si>
    <t>Премия по полученным займам (в части займов от организаций, осуществляющих отдельные виды банковских операций)</t>
  </si>
  <si>
    <t>Дисконт по полученным займам (в части займов от организаций, осуществляющих отдельные виды банковских операций)</t>
  </si>
  <si>
    <t>Металлические счета клиентов в аффинированном драгоценном металле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</si>
  <si>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</si>
  <si>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Премия по вкладам, привлеченым от клиентов</t>
  </si>
  <si>
    <t>Дисконт по вкладам, привлеченым от клиентов</t>
  </si>
  <si>
    <t>Счет хранения денег, принятых в качестве обеспечения (заклад, задаток) обязательств клиентов</t>
  </si>
  <si>
    <t>Элиминация (АО "Открытый Накопительный Пенсионный Фонд "ОТАН")</t>
  </si>
  <si>
    <t>Ассоциированная компания ОАО "Сохибкорбанк"</t>
  </si>
  <si>
    <t>Доп.пров. EY по переоц. Инвестиций, EY1/5</t>
  </si>
  <si>
    <t>EY1/6</t>
  </si>
  <si>
    <t>3, 11, 12, EY1/7</t>
  </si>
  <si>
    <t>3, EY1/5, 1/7</t>
  </si>
  <si>
    <t>EY1/2</t>
  </si>
  <si>
    <t>EY1/2, 1/3, 1/4</t>
  </si>
  <si>
    <t>Начисленные комиссионные доходы за услуги по доверительным операциям</t>
  </si>
  <si>
    <t>Доп.пров. EY (96) от инвестиций в Сибирь</t>
  </si>
  <si>
    <t>Вклад, являющийся обеспечением обязательств других банков</t>
  </si>
  <si>
    <t>Счет хранения денег, принятых в качестве обеспечения (заклад, задаток) обязательств других банков</t>
  </si>
  <si>
    <t>Премия по вкладам, привлеченным от Национального банка РК, иностранных центральных банков и других банков (в части от иностранных центральных банков и других банков)</t>
  </si>
  <si>
    <t>Дисконт по вкладам, привлеченным от Национального банка РК, иностранных центральных банков и других банков (в части от иностранных центральных банков и других банков)</t>
  </si>
  <si>
    <t>Премия по вкладам, привлеченным от Национального банка РК, иностранных центральных банков и других банков (в части от НБ РК)</t>
  </si>
  <si>
    <t>Дисконт по вкладам, привлеченным от Национального банка РК, иностранных центральных банков и других банков (в части от НБ РК)</t>
  </si>
  <si>
    <t>Выкупленные облигации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</si>
  <si>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</si>
  <si>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</si>
  <si>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Выкупленные субординированные облигации</t>
  </si>
  <si>
    <t>Субординированные облигации</t>
  </si>
  <si>
    <t>Начисленные расходы по корреспондентским счетам</t>
  </si>
  <si>
    <t>Начисленные расходы по металлическим счетам клиентов в аффинированных драгоценных металлах</t>
  </si>
  <si>
    <t>Начисленные расходы по прочим операциям</t>
  </si>
  <si>
    <t>Начисленные расходы по АХД</t>
  </si>
  <si>
    <t>Доходы будущих периодов</t>
  </si>
  <si>
    <t>Начисленные комиссионные расходы по аудиту и консультационным услугам</t>
  </si>
  <si>
    <t>Резерв на отпускные выплаты</t>
  </si>
  <si>
    <t>Доходы, по амортизации дисконта по вкладам , размещенным в Национальном Банке Республики Казахстан</t>
  </si>
  <si>
    <t>Доходы по амортизации дисконта по вкладам, размещенным в других банках</t>
  </si>
  <si>
    <t>Доходы по амортизации пермии по вкладам, привлеченным от НБ РК, инстранных центральных банков и других банков</t>
  </si>
  <si>
    <t>Доходы по амортизации дисконта по займам, предоставленным другим банкам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</si>
  <si>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</si>
  <si>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 xml:space="preserve">Страховые резервы </t>
  </si>
  <si>
    <t>Доходы, связанные с получением вознаграждения по просроченной задолженности по фин. лизингу, предоставленным организациям, осуществляющим отдельные виды банковских операций</t>
  </si>
  <si>
    <t>Доходы, по амортизации дисконта по займам, предоставленным организациям, осуществляющим отдельные виды банковских операций</t>
  </si>
  <si>
    <t>Доходы, по амортизации премии по полученным займам</t>
  </si>
  <si>
    <t>Выпущенные в обращение прочие ЦБ</t>
  </si>
  <si>
    <t>Доходы по амортизации дисконта по займам, предоставленным клиентам</t>
  </si>
  <si>
    <t>Доходы по амортизации премии по вкладам, привлеченным от клиентов</t>
  </si>
  <si>
    <t>Доходы по амортизации премии по выпущенным в обращение субординированным облигациям</t>
  </si>
  <si>
    <t>Доходы, связанные с получением дивидендов по акциям</t>
  </si>
  <si>
    <t>Расходы, связаннные с выплатой вознаграждения по финансовому лизингу, полученному от других банков</t>
  </si>
  <si>
    <t>Расходы, связаннные с выплатой вознаграждения по финансовому лизингу, полученному от от организаций, осуществляющих отдельные виды банковских операций</t>
  </si>
  <si>
    <t>Расходы по амортизации дисконта по полученным займам</t>
  </si>
  <si>
    <t>Расходы по амортизации премии по займам, предоставленным другим банкам</t>
  </si>
  <si>
    <t>53a, 59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</si>
  <si>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</si>
  <si>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Расходы по амортизации дисконта по вкладам, привлеченным от Национального банка РК, иностранных центральных банков и других банков</t>
  </si>
  <si>
    <t>Консолидированное сальдо, тыс.тенге</t>
  </si>
  <si>
    <t>Расходы по амортизации премии по вкладам, размещенным в  Национальном банке РК</t>
  </si>
  <si>
    <t>Расходы по амортизации премии по вкладам, размещенным в  других банках</t>
  </si>
  <si>
    <t>Расходы, связанные с выплатой вознаграждения по металлическим счетам клиентов в аффинированных драгметаллах</t>
  </si>
  <si>
    <t>Расходы по амортизации дисконта повкладам, привлеченным от клиентов</t>
  </si>
  <si>
    <t>Доходы, связанные с получением вознаграждения по прочим инвестициям</t>
  </si>
  <si>
    <t>Расходы по амортизации премии по займам, предоставленным клиентам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</si>
  <si>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</si>
  <si>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облиациям</t>
  </si>
  <si>
    <t>Ассигнования на 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</si>
  <si>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Просроченные комиссионные доходы за услуги по факторинговым операциям (в части %)</t>
  </si>
  <si>
    <t xml:space="preserve">Долгосрочные вклады других банков </t>
  </si>
  <si>
    <t>Общие резервы (провизии)</t>
  </si>
  <si>
    <t>АО "АТФ-Полис"</t>
  </si>
  <si>
    <t>Коррекция</t>
  </si>
  <si>
    <t>Итого</t>
  </si>
  <si>
    <t>Счет</t>
  </si>
  <si>
    <t>Наименование</t>
  </si>
  <si>
    <t>Сальдо, тыс.тенге</t>
  </si>
  <si>
    <t>Дебет</t>
  </si>
  <si>
    <t>Кредит</t>
  </si>
  <si>
    <t>Денежные средства и их эквиваленты</t>
  </si>
  <si>
    <t>Нереализованный доход от переоценки форвардных операций по аффинированным драгоценным металлам</t>
  </si>
  <si>
    <t>Наличность в кассе</t>
  </si>
  <si>
    <t>Наличность в обменных пунктах</t>
  </si>
  <si>
    <t>Наличность в банкоматах</t>
  </si>
  <si>
    <t>Монеты, изготовленные из драгоценных металлов, в кассе</t>
  </si>
  <si>
    <t>Деньги в дорожных чеках</t>
  </si>
  <si>
    <t>Корреспондентский счет в Национальном Банке Республики Казахстан</t>
  </si>
  <si>
    <t>Корреспондентские счета в других банках</t>
  </si>
  <si>
    <t>Срочные вклады  в Национальном Банке Республики Казахстан</t>
  </si>
  <si>
    <t>Краткосрочные вклады, размещенные в других банках (до одного месяца)</t>
  </si>
  <si>
    <t>Краткосрочные вклады, размещенные в других банках (до одного года)</t>
  </si>
  <si>
    <t xml:space="preserve">Долгосрочные вклады, размещенные в других банках </t>
  </si>
  <si>
    <t>Условные вклады, размещенные в других банках</t>
  </si>
  <si>
    <t>Начисленные доходы по корреспондентским счетам</t>
  </si>
  <si>
    <t>Начисленные доходы по вкладам, размещенным в Национальном Банке Республики Казахстан</t>
  </si>
  <si>
    <t>Начисленные доходы по займам и финансовому лизингу, предоставленным другим банкам</t>
  </si>
  <si>
    <t>Дебиторы по документарным расчетам</t>
  </si>
  <si>
    <t>Ценные бумаги,предназначенные для торговли</t>
  </si>
  <si>
    <t>Ценные бумаги, предназначенные для торговли</t>
  </si>
  <si>
    <t>Дисконт по приобретенным ценным бумагам, предназначенным для торговли</t>
  </si>
  <si>
    <t>Премия по приобретенным ценным бумагам, предназначенным для торговли</t>
  </si>
  <si>
    <t>Вклад, являющийся обеспечением обязательств банка, кредитного товарищества и ипотечной компании</t>
  </si>
  <si>
    <t>Начисленные доходы по вкладу , явл.обеспечением обяз-в банка, кредит-го товарищества и ипотечной компании</t>
  </si>
  <si>
    <t>Доходы, связанные с получением вознаграждения по вкладу,являющемуся обеспечением обязательств банка, кредитного товарищества и ипотечной компании</t>
  </si>
  <si>
    <t>Вознаграждение, начисленное предыдущими держателями по ценным бумагам, предназначенным для торговли</t>
  </si>
  <si>
    <t>Счет положительной корректировки справедливой стоимости ценных бумаг, предназначенных для торговли</t>
  </si>
  <si>
    <t>Счет отрицательной корректировки справедливой стоимости ценных бумаг, предназначенных для торговли</t>
  </si>
  <si>
    <t>Начисленные доходы по ценным бумагам, предназначенным для торговли</t>
  </si>
  <si>
    <t>Комерческие займы и авансы</t>
  </si>
  <si>
    <t>Краткосрочные займы, предоставленные организациям, осуществляющим отдельные виды банковских операций</t>
  </si>
  <si>
    <t>Долгосрочные займы, предоставленные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</si>
  <si>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</si>
  <si>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</si>
  <si>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Факторинг клиентам</t>
  </si>
  <si>
    <t>Краткосрочные займы, предоставленные клиентам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</si>
  <si>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</si>
  <si>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</si>
  <si>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займам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</si>
  <si>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</si>
  <si>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</si>
  <si>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</si>
  <si>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Провизии по кредитной деятельности</t>
  </si>
  <si>
    <t>Требования по операциям форвард</t>
  </si>
  <si>
    <t>Краткосрочные займы,полученные от международных финансовых организаций</t>
  </si>
  <si>
    <t>Долгосрочные займы,полученные от международных финансовых организаций</t>
  </si>
  <si>
    <t>Начисленные расходы по займам, полученным от международных финансовых организаций</t>
  </si>
  <si>
    <t>Специальные резервы (провизии) по займам и финансовому лизингу, предоставленным клиентам</t>
  </si>
  <si>
    <t>Общие резервы (провизии) на покрытие убытков от кредитной деятельности</t>
  </si>
  <si>
    <t>Инвестиционные ценные бумаги</t>
  </si>
  <si>
    <t>Ценные бумаги, удерживаемые до погашения</t>
  </si>
  <si>
    <t>Ценные бумаги, имеющиеся в наличии для продажи</t>
  </si>
  <si>
    <t>Дисконт по приобретенным прочим ценным бумагам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</si>
  <si>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</si>
  <si>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</si>
  <si>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</si>
  <si>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</si>
  <si>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Начисленные доходы по ценным бумагам, удерживаемым до погашения</t>
  </si>
  <si>
    <t>Начисленные доходы по ценным бумагам, имеющимся в наличии для продажи</t>
  </si>
  <si>
    <t>Основные средства , нетто</t>
  </si>
  <si>
    <t>Земля, здания и сооружения</t>
  </si>
  <si>
    <t>Компьютерное оборудование</t>
  </si>
  <si>
    <t>Займы, полученные от иностранных центральных банков</t>
  </si>
  <si>
    <t>Просроченная задолженность по вкладам до востребования клиентов</t>
  </si>
  <si>
    <t>Отсроченный подоходный налог</t>
  </si>
  <si>
    <t>Расходы, связ. С выплатой вознаграждения по долгосрочным займам, получ. От междунар. Фин. Организаций</t>
  </si>
  <si>
    <t xml:space="preserve">Расходы, связ. С выплатой вознаграждения по займам, получ. От оностранных центральных банков </t>
  </si>
  <si>
    <t>Расходы от продажи акций дочерних и зависимых организаций</t>
  </si>
  <si>
    <t>Прочие основные средства</t>
  </si>
  <si>
    <t>Капитальные затраты по арендованным зданиям</t>
  </si>
  <si>
    <t>Транспортные средства</t>
  </si>
  <si>
    <t>Начисленная амортизация по зданиям и сооружениям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</si>
  <si>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</si>
  <si>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</si>
  <si>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</si>
  <si>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</si>
  <si>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Прочие активы</t>
  </si>
  <si>
    <t>Аффинированные драгоценные металлы</t>
  </si>
  <si>
    <t>Инвестиции в дочерние организации</t>
  </si>
  <si>
    <t>Инвестиции в зависимые организации</t>
  </si>
  <si>
    <t>Прочие инвестиции</t>
  </si>
  <si>
    <t>Прочие товарно-материальные запасы</t>
  </si>
  <si>
    <t>Нематериальные активы</t>
  </si>
  <si>
    <t>Начисленная амортизация по нематериальным активам</t>
  </si>
  <si>
    <t>Предоплата вознаграждения по полученным займам и вкладам</t>
  </si>
  <si>
    <t>Прочие предоплаты</t>
  </si>
  <si>
    <t>Начисленные комиссионные доходы за услуги  по переводным операциям</t>
  </si>
  <si>
    <t>Операции "Обратное РЕПО" с ценными бумагами (период размещения до 3-х мес)</t>
  </si>
  <si>
    <t>Начисленные комиссионные доходы за услуги  по выданным гарантиям</t>
  </si>
  <si>
    <t>Начисленные комиссионные доходы за услуги 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</si>
  <si>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</si>
  <si>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по кастодиальной деятельности</t>
  </si>
  <si>
    <t>Начисленные комиссионные доходы за услуги  по кассовым операциям</t>
  </si>
  <si>
    <t>Начисленные комиссионные доходы по документарным расчетам</t>
  </si>
  <si>
    <t>Просроченные комиссионные доходы за услуги  по выданным гарантиям</t>
  </si>
  <si>
    <t>Комиссионные расходы по полученным услугам по реализации страховых полисов</t>
  </si>
  <si>
    <t>Просроченные комиссионные доходы за услуги  по приему вкладов, открытию и ведению банковских счетов клиентов</t>
  </si>
  <si>
    <t>Просроченные прочие комиссионные доходы</t>
  </si>
  <si>
    <t>Просроченные комиссионные доходы по документарным расчетам</t>
  </si>
  <si>
    <t>Расчеты по налогам и другим обязательным платежам в бюджет</t>
  </si>
  <si>
    <t>Расчеты с работниками</t>
  </si>
  <si>
    <t>Дебиторы по капитальным вложениям</t>
  </si>
  <si>
    <t>Доля перестраховщиков в страховых резервах</t>
  </si>
  <si>
    <t>Прочие дебиторы по банковской деятельности</t>
  </si>
  <si>
    <t>Прочие дебиторы по небанковской деятельности</t>
  </si>
  <si>
    <t xml:space="preserve">Доходы, связанные с получением вознаграждения по долгосрочным вкладам, размещенным в других банках </t>
  </si>
  <si>
    <t>Прочие транзитные счета</t>
  </si>
  <si>
    <t>Расходы в виде отриц. Корректировки стоимости займа, предоставленного клиентам</t>
  </si>
  <si>
    <t>Специальные резервы (провизии) на покрытие убытков по дебиторской задолженности, связанной с банковской деятельностью</t>
  </si>
  <si>
    <t>Специальные резервы (провизии) на покрытие убытков по дебиторской задолженности, связанной с небанковской деятельностью</t>
  </si>
  <si>
    <t>Налоговые активы</t>
  </si>
  <si>
    <t>Досрочный подоходный налог</t>
  </si>
  <si>
    <t xml:space="preserve"> ИТОГО АКТИВЫ</t>
  </si>
  <si>
    <t>Прочих финансовых учреждений</t>
  </si>
  <si>
    <t>Корреспондентские счета других банков</t>
  </si>
  <si>
    <t>Корреспондентские счета организаций, осуществляющих отдельные виды банковских операций</t>
  </si>
  <si>
    <t>Краткосрочные займы, полученные от других банков</t>
  </si>
  <si>
    <t>Долгосрочные займы, полученные от других банков</t>
  </si>
  <si>
    <t>Займы овернайт, полученные от других банков</t>
  </si>
  <si>
    <t>Краткосрочные вклады других банков (до одного месяца)</t>
  </si>
  <si>
    <t>2, 10-13, 11, 12, 16</t>
  </si>
  <si>
    <t>21</t>
  </si>
  <si>
    <t>Краткосрочные вклады других банков (до одного года)</t>
  </si>
  <si>
    <t>Операции "РЕПО" с ценными бумагами</t>
  </si>
  <si>
    <t>Начисленные расходы по займам и финансовому лизингу, полученным от других банков</t>
  </si>
  <si>
    <t>Начисленные расходы по срочным вкладам других банков</t>
  </si>
  <si>
    <t>Краткосрочные займы, полученные от Правительства Республики Казахстан</t>
  </si>
  <si>
    <t>Долгосрочные займы, полученные от Правительства Республики Казахстан</t>
  </si>
  <si>
    <t>Начисленные расходы по займам, полученным от Правительства Республики Казахстан</t>
  </si>
  <si>
    <t>Ссуды от финансового сектора</t>
  </si>
  <si>
    <t>Долгосрочные займы, полученные от организаций, осуществляющих отдельные виды банковских операций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</si>
  <si>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</si>
  <si>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Средства клиентов</t>
  </si>
  <si>
    <t>Текущие счета клиентов</t>
  </si>
  <si>
    <t>EY1/3</t>
  </si>
  <si>
    <t>EY1/4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</si>
  <si>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</si>
  <si>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</si>
  <si>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</si>
  <si>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</si>
  <si>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</si>
  <si>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</si>
  <si>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Краткосрочные вклады клиентов</t>
  </si>
  <si>
    <t>Долгосрочные вклады клиентов</t>
  </si>
  <si>
    <t>Условные вклады клиентов</t>
  </si>
  <si>
    <t>Карт-счета клиентов</t>
  </si>
  <si>
    <t>Вклад, являющийся обеспечением (заклад, гарантия, задаток) обязательств клиентов</t>
  </si>
  <si>
    <t>Счет хранения указаний отправителя в соответствии с валютным законодательством Республики Казахстан</t>
  </si>
  <si>
    <t>Начисленные расходы по текущим счетам клиентов</t>
  </si>
  <si>
    <t>Начисленные комиссионные расходы  по доверительным (трастовым) операциям)</t>
  </si>
  <si>
    <t>Обязательства по акцептам</t>
  </si>
  <si>
    <t>Начисленные расходы по условным вкладам клиентов</t>
  </si>
  <si>
    <t>Расходы, связанные с выплатой вознаграждения по вкладам до востребования других банков</t>
  </si>
  <si>
    <t>Начисленные расходы по срочным вкладам клиентов</t>
  </si>
  <si>
    <t>Начисленные расходы по вкладу, являющемуся обеспечением (заклад, гарантия, задаток) обязательств клиентов</t>
  </si>
  <si>
    <t>Кредиторы по документарным расчетам</t>
  </si>
  <si>
    <t>Выпущенные долговые ЦБ</t>
  </si>
  <si>
    <t>Выпущенные в обращение облигации</t>
  </si>
  <si>
    <t>Дисконт по выпущенным в обращение ценным бумагам</t>
  </si>
  <si>
    <t>Начисленные расходы по выпущенным в обращение прочим ценным бумагам</t>
  </si>
  <si>
    <t>Субординированный заем</t>
  </si>
  <si>
    <t>Субординированный долг со сроком погашения менее пяти лет</t>
  </si>
  <si>
    <t>Начисленные расходы по субординированному долгу</t>
  </si>
  <si>
    <t>Начисленные расходы по аудиту и консультационным услугам</t>
  </si>
  <si>
    <t>Предоплата вознаграждения по предоставленным займам</t>
  </si>
  <si>
    <t>Начисленные комиссионные расходы  по услугам по переводным операциям</t>
  </si>
  <si>
    <t>Начисленные комиссионные расходы  по услугам  по купле-продаже ценных бумаг</t>
  </si>
  <si>
    <t>Начисленные прочие комиссионные расходы</t>
  </si>
  <si>
    <t>Начисленные комиссионные расходы  по услугам по кастодиальной деятельности</t>
  </si>
  <si>
    <t>Расчеты с акционерами (по дивидендам)</t>
  </si>
  <si>
    <t>Кредиторы по капитальным вложениям</t>
  </si>
  <si>
    <t>Прочие кредиторы по банковской деятельности</t>
  </si>
  <si>
    <t>4</t>
  </si>
  <si>
    <t>4, 9</t>
  </si>
  <si>
    <t>22</t>
  </si>
  <si>
    <t>25</t>
  </si>
  <si>
    <t>17/1, 26</t>
  </si>
  <si>
    <t>61, 62</t>
  </si>
  <si>
    <t>62</t>
  </si>
  <si>
    <t>47</t>
  </si>
  <si>
    <t>49</t>
  </si>
  <si>
    <t>Прочие кредиторы по небанковской деятельности</t>
  </si>
  <si>
    <t>Резервы</t>
  </si>
  <si>
    <t>Общие резервы (провизии) на покрытие убытков по условным обязательствам</t>
  </si>
  <si>
    <t>Расходы, связанные с выплатой вознакраждения по долгосрочным вкладам других банков</t>
  </si>
  <si>
    <t>Расходы, связанные с выплатой вознаграждения по бессрочным финансовым инструментам</t>
  </si>
  <si>
    <t>Специальные резервы (провизии) на покрытие убытков по условным обязательствам</t>
  </si>
  <si>
    <t xml:space="preserve"> ИТОГО ОБЯЗАТЕЛЬСТВА</t>
  </si>
  <si>
    <t>Уставный капитал</t>
  </si>
  <si>
    <t>Объявленный уставный капитал - простые акции</t>
  </si>
  <si>
    <t>Объявленный уставный капитал - привилегированные акции</t>
  </si>
  <si>
    <t>Дополнительный капитал</t>
  </si>
  <si>
    <t>Дополнительный оплаченный капитал</t>
  </si>
  <si>
    <t>Резервный капитал и резервы переоценки</t>
  </si>
  <si>
    <t>Резервный капитал</t>
  </si>
  <si>
    <t>Резервы переоценки основных средств</t>
  </si>
  <si>
    <t>Резервы переоценки стоимости ценных бумаг, имеющихся в наличии для продажи</t>
  </si>
  <si>
    <t>Нераспределенный чистый доход (непокрытый убыток) прошлых лет</t>
  </si>
  <si>
    <t>Резервы по прочей переоценке</t>
  </si>
  <si>
    <t>Нераспределенный чистый доход (непокрытый убыток)</t>
  </si>
  <si>
    <t xml:space="preserve"> ИТОГО СОБСТВЕННЫЙ КАПИТАЛ</t>
  </si>
  <si>
    <t xml:space="preserve"> ИТОГО ПАССИВ</t>
  </si>
  <si>
    <t>Финансовые учреждения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</si>
  <si>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</si>
  <si>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срочным вкладам , размещенным в Национальном Банке Республики Казахстан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</si>
  <si>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</si>
  <si>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</si>
  <si>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</si>
  <si>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</si>
  <si>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операциям "обратное РЕПО" с ценными бумагами</t>
  </si>
  <si>
    <t>Операции "Обратное РЕПО" с ценными бумагами</t>
  </si>
  <si>
    <t>Начисленные доходы по операциям "Обратное РЕПО" с ценными бумагами</t>
  </si>
  <si>
    <t>Доходы, связанные с получением вознаграждения по краткосрочным вкладам, размещенным в других банках (до одного года)</t>
  </si>
  <si>
    <t>Социальные отчисления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</si>
  <si>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</si>
  <si>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</si>
  <si>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АТФ Банк (по МСФО)</t>
  </si>
  <si>
    <t>Элиминация (с Энергобанком)</t>
  </si>
  <si>
    <t>Элиминация (с АТФ-Полис)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</si>
  <si>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</si>
  <si>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 от безвозмездной передачи основных средств и нематериальных активов</t>
  </si>
  <si>
    <t xml:space="preserve">Отчет о доходах и расходах за 01.01.2007 год </t>
  </si>
  <si>
    <t>01.01.2007г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</si>
  <si>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</si>
  <si>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займам 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</si>
  <si>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</si>
  <si>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</si>
  <si>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</si>
  <si>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краткосрочным  займам, предоставленным клиентам</t>
  </si>
  <si>
    <t>Ассигнования на специальные резервы (провизии) по займам и финансовому лизингу, предоставленным другим банкам</t>
  </si>
  <si>
    <t>Доходы, связанные с получением вознаграждения по долгосрочным  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</si>
  <si>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</si>
  <si>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просроченной задолженности клиентов по займам</t>
  </si>
  <si>
    <t>Доходы, связанные с получением вознаграждения по прочим  займам, предоставленным клиентам</t>
  </si>
  <si>
    <t>КАПИТАЛ</t>
  </si>
  <si>
    <t>Комиссионное вознаграждение по займам, предоставленным клиентам</t>
  </si>
  <si>
    <t>Доходы, связанные с получением вознаграждения по ценным бумагам, удерживаемым до погашения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</si>
  <si>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</si>
  <si>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прочим ценным бумагам</t>
  </si>
  <si>
    <t>Расходы по амортизации премии по приобретенным ценным бумагам, предназначенным для торговли</t>
  </si>
  <si>
    <t>28</t>
  </si>
  <si>
    <t>26, EY1/5, 28</t>
  </si>
  <si>
    <t>Расходы по амортизации премии по приобретенным прочим ценным бумагам</t>
  </si>
  <si>
    <t>Доходы от реализации основных средств и нематериальных активов</t>
  </si>
  <si>
    <t>Неустойка (штраф, пеня)</t>
  </si>
  <si>
    <t>Прочие доходы от банковской деятельности</t>
  </si>
  <si>
    <t>Прочие доходы от небанковской деятельности</t>
  </si>
  <si>
    <t>Доходы прошлых периодов, связанные с банковской деятельностью, выявленные в отчетном периоде</t>
  </si>
  <si>
    <t>Доходы прошлых периодов, связанные с небанковской деятельностью, выявленные в отчетном периоде</t>
  </si>
  <si>
    <t>Доходы по купле-продаже ценных бумаг</t>
  </si>
  <si>
    <t>Доходы по купле-продаже  драгоценных металлов</t>
  </si>
  <si>
    <t>Реализованные доходы от изменения стоимости ценных бумаг, предназначенных для торговли и имеющихся в наличии для продажи</t>
  </si>
  <si>
    <t>Расходы по купле-продаже ценных бумаг</t>
  </si>
  <si>
    <t>Реализованные расходы от изменения стоимости ценных бумаг, предназначенных для торговли и имеющихся в наличии для продажи</t>
  </si>
  <si>
    <t>Расходы, связ. С выплатой вознаграждения по краткосрочным займам, получ. От междунар. Фин. Организаций</t>
  </si>
  <si>
    <t>Комиссионные доходы за услуги  по переводным операциям</t>
  </si>
  <si>
    <t>Комиссионные доходы за услуги  по купле-продаже ценных бумаг</t>
  </si>
  <si>
    <t>Комиссионные доходы за услуги  по купле-продаже иностранной валюты</t>
  </si>
  <si>
    <t>Комиссионные доходы за услуги  по доверительным (трастовым) операциям</t>
  </si>
  <si>
    <t>Комиссионные доходы за услуги  по выдаче гарантий</t>
  </si>
  <si>
    <t>Начисленные расходы по займам овернайт других банков</t>
  </si>
  <si>
    <t>Комиссионные доходы за услуги  по приему вкладов, открытию и ведению банковских счетов клиентов</t>
  </si>
  <si>
    <t>Прочие комиссионные доходы</t>
  </si>
  <si>
    <t>Начисленные расходы по субординированным облигациям</t>
  </si>
  <si>
    <t>Комиссионные доходы по кастодиальной деятельности</t>
  </si>
  <si>
    <t>Комиссионные доходы за услуги  по кассовым операциям</t>
  </si>
  <si>
    <t>Комиссионные доходы по документарным расчетам</t>
  </si>
  <si>
    <t>Комиссионные доходы за услуги  по факторинговым операциям</t>
  </si>
  <si>
    <t>Условные вклады других банков</t>
  </si>
  <si>
    <t xml:space="preserve">Подоходный налог </t>
  </si>
  <si>
    <t>23</t>
  </si>
  <si>
    <t>Обязательства по операциям "СПОТ"</t>
  </si>
  <si>
    <t>Доход от переоценки займов в тенге с фиксацией валютного эквивалента займов</t>
  </si>
  <si>
    <t>Доход от прочей переоценки</t>
  </si>
  <si>
    <t>Специальные резервы (провизии) по займам и финансовому лизингу, предоставленным организациям осуществляющим отдельные виды банковских операций</t>
  </si>
  <si>
    <t>Реализованные доходы от переоценки аффинированных драгоценных металлов</t>
  </si>
  <si>
    <t>Реализованные доходы от прочей переоценки</t>
  </si>
  <si>
    <t>Расход от переоценки иностранной валюты</t>
  </si>
  <si>
    <t>Расход от переоценки аффинированных драгоценных металлов</t>
  </si>
  <si>
    <t>Расход от переоценки займов в тенге с фиксацией валютного эквивалента займов</t>
  </si>
  <si>
    <t>Расход от прочей переоценки</t>
  </si>
  <si>
    <t>ATF Capital B.V.</t>
  </si>
  <si>
    <t>Элиминация (с ATF Capital B.V.)</t>
  </si>
  <si>
    <t>Реализованные расходы от переоценки аффинированных драгоценных металлов</t>
  </si>
  <si>
    <t>Реализованные расходы от прочей переоценки</t>
  </si>
  <si>
    <t>Доходы по опционным операциям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</si>
  <si>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</si>
  <si>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краткосрочным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</si>
  <si>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долгосрочным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</si>
  <si>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</si>
  <si>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</si>
  <si>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Доп.пров. EY</t>
  </si>
  <si>
    <t>40-43; 57; 58; 55</t>
  </si>
  <si>
    <t>Комиссионные расходы по полученным услугам по доверительным трастовым операциям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</si>
  <si>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</si>
  <si>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</si>
  <si>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</si>
  <si>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</si>
  <si>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срочным вкладам Национального Банка Республики Казахстан</t>
  </si>
  <si>
    <t>Бессрочные финансовые инструменты</t>
  </si>
  <si>
    <t>Начисленные расходы по бессрочным финансовым инструментам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</si>
  <si>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</si>
  <si>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</si>
  <si>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Банкноты нацвалюты до выпуска в обращение</t>
  </si>
  <si>
    <t>Нереализованный расход от переоценки операций СВОП</t>
  </si>
  <si>
    <t>Расходы, связанные с выплатой вознаграждения по текущим счетам клиентов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</si>
  <si>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</si>
  <si>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</si>
  <si>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</si>
  <si>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</si>
  <si>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</si>
  <si>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Долгосрочные займы, предоставленные другим банкам</t>
  </si>
  <si>
    <t>Вклады, привлеченные от других банков (на одну ночь)</t>
  </si>
  <si>
    <t>Обязательства по операциям "СВОП"</t>
  </si>
  <si>
    <t>Доходы, связанные с получением вознаграждения по долгосрочным займам, предоставленным другим банкам</t>
  </si>
  <si>
    <t>Расходы по операциям своп</t>
  </si>
  <si>
    <t>Специальные резервы (провизии) по займам и финансовому лизингу, предоставленным другим банкам</t>
  </si>
  <si>
    <t>Расходы, связанные с выплатой вознаграждения по вкладу, являющемуся обеспечением (заклад, гарантия, задаток) обязательств клиентов</t>
  </si>
  <si>
    <t>Расходы, связанные с выплатой вознаграждения по прочим вкладам клиентов</t>
  </si>
  <si>
    <t>Расходы, связанные с выплатой вознаграждения по выпущенным в обращение облигациям</t>
  </si>
  <si>
    <t>Расходы по амортизации дисконта по выпущенным в обращение ценным бумагам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</si>
  <si>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</si>
  <si>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операциям "РЕПО" с ценными бумагами</t>
  </si>
  <si>
    <t>Ассигнования на специальные резервы (провизии) по дебиторской задолженности, связанной с банковской деятельностью</t>
  </si>
  <si>
    <t>Ассигнования на специальные резервы (провизии) по займам и финансовому лизингу, предоставленным клиентам</t>
  </si>
  <si>
    <t>Ассигнования на общие резервы (провизии) на покрытие убытков от кредитной деятельности</t>
  </si>
  <si>
    <t>Ассигнования на специальные резервы (провизии) по дебиторской задолженности, связанной с небанковской деятельностью</t>
  </si>
  <si>
    <t>Ассигнования на специальные резервы (провизии) по условным обязательствам</t>
  </si>
  <si>
    <t>Комиссионные расходы по полученным услугам по переводным операциям</t>
  </si>
  <si>
    <t>Комиссионные расходы по полученным услугам по купле-продаже ценных бумаг</t>
  </si>
  <si>
    <t>Комиссионные расходы по полученным услугам по купле-продаже иностранной валюты</t>
  </si>
  <si>
    <t>Доходы за минусом расходов по ЦБ, имеющихся в наличии и годных для продажи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</si>
  <si>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</si>
  <si>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</si>
  <si>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>Прочие комиссионные расходы</t>
  </si>
  <si>
    <t>Комиссионные расходы по кастодиальной деятельности</t>
  </si>
  <si>
    <t>Расход от изменения стоимости ценных бумаг, предназначенных для торговли и имеющихся в наличии для продажи</t>
  </si>
  <si>
    <t>Расходы по оплате труда</t>
  </si>
  <si>
    <t>Прочие выплаты</t>
  </si>
  <si>
    <t>Социальный налог</t>
  </si>
  <si>
    <t>Расходы, связанные с выплатой вознаграждения по вкладу, являющемуся обеспечением обязательств других банков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</si>
  <si>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</si>
  <si>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</si>
  <si>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</si>
  <si>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</si>
  <si>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</si>
  <si>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</si>
  <si>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</si>
  <si>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</si>
  <si>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</si>
  <si>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</si>
  <si>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</si>
  <si>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</si>
  <si>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Требования по операциям Своп</t>
  </si>
  <si>
    <t>Расходы от реализации основных средств и нематериальных активов</t>
  </si>
  <si>
    <t>Расходы по опционным операциям</t>
  </si>
  <si>
    <t>Прочие расходы от банковской деятельности</t>
  </si>
  <si>
    <t>Прочие расходы от небанковской деятельности</t>
  </si>
  <si>
    <t>Расходы по аренде</t>
  </si>
  <si>
    <t xml:space="preserve">14, </t>
  </si>
  <si>
    <t>2, 6, 9, 10-13, 14, 16</t>
  </si>
  <si>
    <t>68</t>
  </si>
  <si>
    <t>17/1, 19</t>
  </si>
  <si>
    <t>19</t>
  </si>
  <si>
    <t>25, 33</t>
  </si>
  <si>
    <t>Прочие обязательства</t>
  </si>
  <si>
    <t>Доля Меньшинства</t>
  </si>
  <si>
    <t>тыс.тенге</t>
  </si>
  <si>
    <t>тыс. тенге</t>
  </si>
  <si>
    <t>2005 год</t>
  </si>
  <si>
    <t>Председатель Правления</t>
  </si>
  <si>
    <t>Главный бухгалтер</t>
  </si>
  <si>
    <t>Куанышев Т.Ж.</t>
  </si>
  <si>
    <t>Деревянко А.М.</t>
  </si>
  <si>
    <t>2006 год</t>
  </si>
  <si>
    <t xml:space="preserve">Баланс банка за 2006 год </t>
  </si>
  <si>
    <t>Нераспределенный чистый доход (непокрытый убыток) текущего года</t>
  </si>
  <si>
    <t>27, 34</t>
  </si>
  <si>
    <t>34</t>
  </si>
  <si>
    <t>33, 61</t>
  </si>
  <si>
    <t>6</t>
  </si>
  <si>
    <t>21, 27</t>
  </si>
  <si>
    <t>Убытки прошлых периодов, связанные с банковской деятельностью, выявленные в отчетном периоде</t>
  </si>
  <si>
    <t>Налог на добавленную стоимость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</si>
  <si>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</si>
  <si>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</si>
  <si>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</si>
  <si>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</si>
  <si>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налоги, сборы и обязательные платежи в бюджет</t>
  </si>
  <si>
    <t>Износ и амортизация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</si>
  <si>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</si>
  <si>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</si>
  <si>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</si>
  <si>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</si>
  <si>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</si>
  <si>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</si>
  <si>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</si>
  <si>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Расходы, связанные с выплатой вознаграждения по выпущенным в обращение прочим ЦБ</t>
  </si>
  <si>
    <t>Подоходный налог</t>
  </si>
  <si>
    <t>Доход от изменения стоимости ЦБ, предназначенных для торговли и имеющихся в наличии для продажи</t>
  </si>
  <si>
    <t>Доходы от реализации прочих инвестиций</t>
  </si>
  <si>
    <t>Расходы от реализации прочих инвестиций</t>
  </si>
  <si>
    <t>Доходы по вознаграждению</t>
  </si>
  <si>
    <t>займы</t>
  </si>
  <si>
    <t>Элиминация (с банком "Сибирь"))</t>
  </si>
  <si>
    <t>по Ценным бумагам:</t>
  </si>
  <si>
    <t>по вкладам клиентов:</t>
  </si>
  <si>
    <t>по заемным средствам</t>
  </si>
  <si>
    <t>по выпущенным долговым ЦБ:</t>
  </si>
  <si>
    <t>по субординированному долгу:</t>
  </si>
  <si>
    <t>Чистый доход по вознаграждению:</t>
  </si>
  <si>
    <t>Обесценение по активам с начислением вознаграждения:</t>
  </si>
  <si>
    <t>Чистый доход по вознаграждению за минусом резервов:</t>
  </si>
  <si>
    <t>Доходы в виде комиссионных и сборов:</t>
  </si>
  <si>
    <t>Расходы в виде комиссионных и сборов:</t>
  </si>
  <si>
    <t>Комиссионные и сборы:</t>
  </si>
  <si>
    <t>Доходы за минусом расходов по торговым ЦБ:</t>
  </si>
  <si>
    <t>Доход (убыток) по дилинговым операциям</t>
  </si>
  <si>
    <t>Расходы по купле-продаже драгоценных металлов</t>
  </si>
  <si>
    <t>Доходы в виде положительной корректировкистоимости займа, предоставленного клиентам</t>
  </si>
  <si>
    <t>Доходы в виде отриц. Корректировки стоимости займа, предоставленного клиентам</t>
  </si>
  <si>
    <t>Предоплата вознаграждения по размещенным вкладам</t>
  </si>
  <si>
    <t>Доход за минусом расходов по операциям с иностранной валютой</t>
  </si>
  <si>
    <t>Доходы по купле-продаже иностранной валюты</t>
  </si>
  <si>
    <t>Расходы по купле-продаже иностранной валюты</t>
  </si>
  <si>
    <t>Акционером материнской компании</t>
  </si>
  <si>
    <t>Долей меньшинства (Энергобанк)</t>
  </si>
  <si>
    <t xml:space="preserve">связанный с: </t>
  </si>
  <si>
    <t>Дилинг:</t>
  </si>
  <si>
    <t>курсовые разницы:</t>
  </si>
  <si>
    <t>Прочий доход:</t>
  </si>
  <si>
    <t>Дивиденды, полученные по акциям дочерних организаций</t>
  </si>
  <si>
    <t>Дивиденды, полученные по акциям зависимых организаций</t>
  </si>
  <si>
    <t>Доходы, не связанные с вознаграждением:</t>
  </si>
  <si>
    <t>Зарплата и прочие выплаты персоналу:</t>
  </si>
  <si>
    <t>Административные и операционные расходы:</t>
  </si>
  <si>
    <t>Налоги (за исключением подоходного налога)</t>
  </si>
  <si>
    <t xml:space="preserve">Прочие резервы </t>
  </si>
  <si>
    <t>Расходы, не связанные с вознаграждением:</t>
  </si>
  <si>
    <t>Доход до подоходного налога и доли меньшинства</t>
  </si>
  <si>
    <t xml:space="preserve">Чистый доход </t>
  </si>
  <si>
    <t>ОБЯЗАТЕЛЬСТВА:</t>
  </si>
  <si>
    <t>Страховые премии</t>
  </si>
  <si>
    <t>АО "АТФБанк"</t>
  </si>
  <si>
    <t>ОАО "Энергобанк" (ср. курс по д.и р. 3,10 тенге)</t>
  </si>
  <si>
    <t>ЗАО ДКБ "Сибирь" (ср. курс по д.и р. 4,59 тенге)</t>
  </si>
  <si>
    <t>Курсовая разница от средних курсов</t>
  </si>
  <si>
    <t>Начисленные доходы по вкладам, размещенным в других банках (в части до 3-х месяцев)</t>
  </si>
  <si>
    <t>АО "Открытый Накопительный Пенсионный Фонд "ОТАН""</t>
  </si>
  <si>
    <t xml:space="preserve">Начисленные доходы по вкладам, размещенным в других банках </t>
  </si>
  <si>
    <t>Строящиеся (устанавливаемые) основные средства</t>
  </si>
  <si>
    <t>Специальные резервы (провизии) по вкладам, размещенным в других банках</t>
  </si>
  <si>
    <t>Металлические счета в аффинированном драгоценном металле</t>
  </si>
  <si>
    <t>Ассигнования на специальные резервы (провизии) по вкладам, размещенным в других банках</t>
  </si>
  <si>
    <t>Доход от переоценки инвалюты</t>
  </si>
  <si>
    <t>Доход от переоценки аффинированных драгоценных металлов</t>
  </si>
  <si>
    <t>Доходы от реализации товарно-материальных запасов</t>
  </si>
  <si>
    <t>Краткосрочные займы, предоставленные другим банкам</t>
  </si>
  <si>
    <t>Начисленные расходы по операциям "РЕПО" с ценными бумагами</t>
  </si>
  <si>
    <t>Средства кредитных учреждений</t>
  </si>
  <si>
    <t>Обязательства перед правительством и Национальным банком РК</t>
  </si>
  <si>
    <t>Реализованные доходы от переоценки иностранной валюты</t>
  </si>
  <si>
    <t>Реализованные расходы от переоценки иностранной валюты</t>
  </si>
  <si>
    <t>Ассигнования на общие резервы (провизии) по условным обязательствам</t>
  </si>
  <si>
    <t>Расчеты с брокерами</t>
  </si>
  <si>
    <t>Начисленные комиссионные доходы за услуги  по купле-продаже ценных бумаг</t>
  </si>
  <si>
    <t>Начисленные расходы по срочным вкладам других банков (в части Национального банка РК)</t>
  </si>
  <si>
    <t>Банкноты и монеты в пути</t>
  </si>
  <si>
    <t>Вклады, размещенные в других банках (на одну ночь)</t>
  </si>
  <si>
    <t>Вклады до востребования клиентов</t>
  </si>
  <si>
    <t>Прочее просроченное вознаграждение</t>
  </si>
  <si>
    <t>Доходы по операциям СВОП</t>
  </si>
  <si>
    <t>Доходы по операциям СПОТ</t>
  </si>
  <si>
    <t>Расходы по операциям спот</t>
  </si>
  <si>
    <t>Займы овернайт,предоставленные другим банкам</t>
  </si>
  <si>
    <t>Убытки прошлых периодов, связанные с  небанковской деятельностью, выявленные в отчетном периоде</t>
  </si>
  <si>
    <t>Субординированный долг со сроком погашения более пяти лет</t>
  </si>
  <si>
    <t>Расходы, связанные с выплатой вознаграждения по субординированному долгу со сроком погашения более пяти лет</t>
  </si>
  <si>
    <t>Чрезвычайные расходы</t>
  </si>
  <si>
    <t>Доходы по операциям форвард</t>
  </si>
  <si>
    <t>Чрезвычайные доходы</t>
  </si>
  <si>
    <t>Доходы по амортизации премии по выпущенным в обращение ЦБ</t>
  </si>
  <si>
    <t>Вклад, являющийся обеспечением обязательств банка, кредитного товарищества и ипотечной компании (период размещения до 3-х мес)</t>
  </si>
  <si>
    <t>Обязательства по операциям "ФОРВАРД"</t>
  </si>
  <si>
    <t>Нереализованный доход от переоценки операций СВОП</t>
  </si>
  <si>
    <t>Нереализованный расход от переоценки форвардных операций по иностранной валюте</t>
  </si>
  <si>
    <t>Начисленные доходы по вкладу, являющийся обеспечением обязательств банка, кредитного товарищества и ипотечной компании (период размещения до 3-х мес)</t>
  </si>
  <si>
    <t xml:space="preserve">Займы овердрафт, предоставленные организациям, осуществляющим отдельные виды банковских операций                                                                                                                                                          </t>
  </si>
  <si>
    <t>Расходы по вознаграждению</t>
  </si>
  <si>
    <t>Просроченная задолженность по факторингу</t>
  </si>
  <si>
    <t>Просроченное вознаграждение по вкладам, размещенным в других банках</t>
  </si>
  <si>
    <t>Расходы по операциям форвард</t>
  </si>
  <si>
    <t>Деньги в дорожных чеках в пути</t>
  </si>
  <si>
    <t>Коллекционные монеты, изготовленные из недрагоценных металлов, в кассе</t>
  </si>
  <si>
    <t>Специальные резервы (провизии) на покрытие убытков по корреспондентским счетам в других банках</t>
  </si>
  <si>
    <t>Срочные вклады  в Национальном Банке Республики Казахстан (период размещения до 3-х мес)</t>
  </si>
  <si>
    <t>Дисконт по вкладам, размещенным в НБРК (период размещения до 3-х мес)</t>
  </si>
  <si>
    <t>Премия по вкладам, размещенным в НБРК (период размещения до 3-х мес)</t>
  </si>
  <si>
    <t>Краткосрочные вклады, размещенные в других банках (до одного года)(период размещения до 3-х мес)</t>
  </si>
  <si>
    <t>Дисконт по вкладам, размещенным в др. банках (период размещения до 3-х мес)</t>
  </si>
  <si>
    <t>Премия по вкладам, размещенным в др. банках (период размещения до 3-х мес)</t>
  </si>
  <si>
    <t>Счет хранения денег, переданных в качестве обеспечения (заклад, задаток) обязательств Банка, кредитного товарищества и ипотечной компании (период размещения до 3-х мес)</t>
  </si>
  <si>
    <t>Обязательные резервы</t>
  </si>
  <si>
    <t>Дисконт по вкладам, размещенным в др. банках (период размещения более 3-х мес)</t>
  </si>
  <si>
    <t>Премия по вкладам, размещенным в др. банках (период размещения более 3-х мес)</t>
  </si>
  <si>
    <t>Просроченная задолженность по займам, предоставленным организациям, осущ. Отдельные виды банковских операций</t>
  </si>
  <si>
    <t>Просроченные комиссионные доходы по кастодиальной деятельности</t>
  </si>
  <si>
    <t>Комиссионное вознаграждение по займам, предоставленным другим банкам</t>
  </si>
  <si>
    <t>Счет хранения денег, переданных в качестве обеспечения (заклад, задаток) обязательств Банка, кредитного товарищества и ипотечной компании (период размещения более 3-х мес)</t>
  </si>
  <si>
    <t>Срочные вклады  в Национальном Банке Республики Казахстан (период размещения более 3-х мес)</t>
  </si>
  <si>
    <t>Дисконт по вкладам, размещенным в НБРК (период размещения более 3-х мес)</t>
  </si>
  <si>
    <t>Премия по вкладам, размещенным в НБРК (период размещения более 3-х мес)</t>
  </si>
  <si>
    <t>Дисконт по займам, предоставленным др.банкам</t>
  </si>
  <si>
    <t>Премия по займам, предоставленным др.банкам</t>
  </si>
  <si>
    <t>Дисконт по займам, предоставленные организациям, осуществляющим отдельные виды банковских операций</t>
  </si>
  <si>
    <t>Премия по займам, предоставленные организациям, осуществляющим отдельные виды банковских операций</t>
  </si>
  <si>
    <t>Дисконт по займам, предоставленным клиентам</t>
  </si>
  <si>
    <t>Премия по займам, предоставленным клиентам</t>
  </si>
  <si>
    <t>Начисленные комиссионные доходы за услуги по факторинговым операциям (в части %)</t>
  </si>
  <si>
    <t>Коллекционные монеты, изготовленные из недрагоценных металлов, на складе</t>
  </si>
  <si>
    <t>Начисленные доходы по прочим операциям</t>
  </si>
  <si>
    <t>Расходы будущих периодов</t>
  </si>
  <si>
    <t>Начисленная неустойка (штраф, пеня) (кроме начисленных по займам)</t>
  </si>
  <si>
    <t>Начисленная неустойка (штраф, пеня) (в части начисленных по займам)</t>
  </si>
  <si>
    <t>Премия по полученным займам (в части займов от других банков)</t>
  </si>
  <si>
    <t>Дисконт по полученным займам (в части займов от других банков)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</si>
</sst>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&quot;;\-#,##0&quot;  &quot;"/>
    <numFmt numFmtId="165" formatCode="#,##0&quot;  &quot;;[Red]\-#,##0&quot;  &quot;"/>
    <numFmt numFmtId="166" formatCode="#,##0.00&quot;  &quot;;\-#,##0.00&quot;  &quot;"/>
    <numFmt numFmtId="167" formatCode="#,##0.00&quot;  &quot;;[Red]\-#,##0.00&quot;  &quot;"/>
    <numFmt numFmtId="168" formatCode="_-* #,##0&quot;  &quot;_-;\-* #,##0&quot;  &quot;_-;_-* &quot;-&quot;&quot;  &quot;_-;_-@_-"/>
    <numFmt numFmtId="169" formatCode="_-* #,##0_ _ _-;\-* #,##0_ _ _-;_-* &quot;-&quot;_ _ _-;_-@_-"/>
    <numFmt numFmtId="170" formatCode="_-* #,##0.00&quot;  &quot;_-;\-* #,##0.00&quot;  &quot;_-;_-* &quot;-&quot;??&quot;  &quot;_-;_-@_-"/>
    <numFmt numFmtId="171" formatCode="_-* #,##0.00_ _ _-;\-* #,##0.00_ _ _-;_-* &quot;-&quot;??_ _ 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dd/mm/yy\ h:mm\ AM/PM"/>
    <numFmt numFmtId="181" formatCode="#,##0_ _ "/>
    <numFmt numFmtId="182" formatCode="#,##0&quot;  &quot;"/>
    <numFmt numFmtId="183" formatCode="_(* #,##0_);_(* \(#,##0\);_(* &quot;-&quot;??_);_(@_)"/>
    <numFmt numFmtId="184" formatCode="0.000%"/>
    <numFmt numFmtId="185" formatCode="_-* #,##0.000_ _ _-;\-* #,##0.000_ _ _-;_-* &quot;-&quot;???_ _ _-;_-@_-"/>
    <numFmt numFmtId="186" formatCode="#&quot; &quot;##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_-* #&quot; &quot;##0_ _ _-;\-* #&quot; &quot;##0_ _ _-;_-* &quot;-&quot;_ _ _-;_-@_-"/>
  </numFmts>
  <fonts count="61">
    <font>
      <sz val="10"/>
      <name val="Arial CYR"/>
      <family val="0"/>
    </font>
    <font>
      <b/>
      <sz val="8"/>
      <color indexed="9"/>
      <name val="Arial CYR"/>
      <family val="2"/>
    </font>
    <font>
      <b/>
      <sz val="8"/>
      <color indexed="8"/>
      <name val="Arial Cyr"/>
      <family val="2"/>
    </font>
    <font>
      <b/>
      <i/>
      <sz val="8"/>
      <color indexed="8"/>
      <name val="Arial Cyr"/>
      <family val="2"/>
    </font>
    <font>
      <b/>
      <sz val="10"/>
      <name val="Arial Cyr"/>
      <family val="2"/>
    </font>
    <font>
      <b/>
      <sz val="8"/>
      <color indexed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vertAlign val="superscript"/>
      <sz val="10"/>
      <color indexed="10"/>
      <name val="Arial CYR"/>
      <family val="2"/>
    </font>
    <font>
      <b/>
      <i/>
      <vertAlign val="superscript"/>
      <sz val="10"/>
      <color indexed="10"/>
      <name val="Arial CYR"/>
      <family val="2"/>
    </font>
    <font>
      <vertAlign val="superscript"/>
      <sz val="10"/>
      <color indexed="10"/>
      <name val="Arial CYR"/>
      <family val="2"/>
    </font>
    <font>
      <b/>
      <vertAlign val="superscript"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b/>
      <sz val="8"/>
      <color indexed="61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b/>
      <sz val="12"/>
      <color indexed="61"/>
      <name val="Arial CYR"/>
      <family val="2"/>
    </font>
    <font>
      <b/>
      <sz val="8"/>
      <color indexed="17"/>
      <name val="Arial CYR"/>
      <family val="2"/>
    </font>
    <font>
      <sz val="10"/>
      <color indexed="17"/>
      <name val="Arial CYR"/>
      <family val="2"/>
    </font>
    <font>
      <b/>
      <sz val="8"/>
      <color indexed="53"/>
      <name val="Arial CYR"/>
      <family val="2"/>
    </font>
    <font>
      <b/>
      <sz val="8"/>
      <color indexed="18"/>
      <name val="Arial CYR"/>
      <family val="2"/>
    </font>
    <font>
      <b/>
      <sz val="8"/>
      <color indexed="58"/>
      <name val="Arial CYR"/>
      <family val="2"/>
    </font>
    <font>
      <sz val="10"/>
      <color indexed="58"/>
      <name val="Arial CYR"/>
      <family val="2"/>
    </font>
    <font>
      <sz val="10"/>
      <color indexed="10"/>
      <name val="Arial Cyr"/>
      <family val="2"/>
    </font>
    <font>
      <b/>
      <sz val="8"/>
      <color indexed="2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2"/>
    </font>
    <font>
      <sz val="10"/>
      <color indexed="63"/>
      <name val="Helv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9"/>
      <name val="Arial"/>
      <family val="2"/>
    </font>
    <font>
      <sz val="9"/>
      <color indexed="58"/>
      <name val="Arial CYR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sz val="11"/>
      <name val="Arial Cyr"/>
      <family val="2"/>
    </font>
    <font>
      <sz val="9"/>
      <color indexed="10"/>
      <name val="Arial Cyr"/>
      <family val="2"/>
    </font>
    <font>
      <vertAlign val="superscript"/>
      <sz val="9"/>
      <color indexed="10"/>
      <name val="Arial Cyr"/>
      <family val="2"/>
    </font>
    <font>
      <sz val="9"/>
      <color indexed="61"/>
      <name val="Arial Cyr"/>
      <family val="2"/>
    </font>
    <font>
      <sz val="9"/>
      <color indexed="17"/>
      <name val="Arial Cyr"/>
      <family val="2"/>
    </font>
    <font>
      <i/>
      <sz val="9"/>
      <name val="Arial Cyr"/>
      <family val="2"/>
    </font>
    <font>
      <sz val="10"/>
      <color indexed="9"/>
      <name val="Arial Cyr"/>
      <family val="2"/>
    </font>
    <font>
      <vertAlign val="superscript"/>
      <sz val="9"/>
      <name val="Arial Cyr"/>
      <family val="2"/>
    </font>
    <font>
      <b/>
      <vertAlign val="superscript"/>
      <sz val="11"/>
      <color indexed="10"/>
      <name val="Arial Cyr"/>
      <family val="2"/>
    </font>
    <font>
      <b/>
      <sz val="11"/>
      <color indexed="61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9"/>
      <color indexed="53"/>
      <name val="Arial Cyr"/>
      <family val="2"/>
    </font>
    <font>
      <i/>
      <sz val="9"/>
      <color indexed="61"/>
      <name val="Arial Cyr"/>
      <family val="2"/>
    </font>
    <font>
      <i/>
      <sz val="9"/>
      <color indexed="8"/>
      <name val="Arial Cyr"/>
      <family val="2"/>
    </font>
    <font>
      <i/>
      <vertAlign val="superscript"/>
      <sz val="9"/>
      <color indexed="10"/>
      <name val="Arial Cyr"/>
      <family val="2"/>
    </font>
    <font>
      <i/>
      <sz val="9"/>
      <color indexed="17"/>
      <name val="Arial Cyr"/>
      <family val="2"/>
    </font>
    <font>
      <i/>
      <sz val="9"/>
      <color indexed="10"/>
      <name val="Arial Cyr"/>
      <family val="2"/>
    </font>
    <font>
      <i/>
      <vertAlign val="superscript"/>
      <sz val="9"/>
      <name val="Arial Cyr"/>
      <family val="2"/>
    </font>
    <font>
      <b/>
      <vertAlign val="superscript"/>
      <sz val="12"/>
      <color indexed="10"/>
      <name val="Arial Cyr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b/>
      <sz val="12"/>
      <color indexed="17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1" fontId="2" fillId="0" borderId="1" xfId="15" applyNumberFormat="1" applyFont="1" applyFill="1" applyBorder="1" applyAlignment="1">
      <alignment vertical="center"/>
    </xf>
    <xf numFmtId="1" fontId="2" fillId="0" borderId="1" xfId="15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3" fontId="2" fillId="2" borderId="1" xfId="15" applyNumberFormat="1" applyFont="1" applyFill="1" applyBorder="1" applyAlignment="1">
      <alignment horizontal="center" vertical="center"/>
    </xf>
    <xf numFmtId="3" fontId="2" fillId="3" borderId="1" xfId="15" applyNumberFormat="1" applyFont="1" applyFill="1" applyBorder="1" applyAlignment="1">
      <alignment horizontal="center" vertical="center"/>
    </xf>
    <xf numFmtId="3" fontId="7" fillId="2" borderId="1" xfId="15" applyNumberFormat="1" applyFont="1" applyFill="1" applyBorder="1" applyAlignment="1">
      <alignment horizontal="center" vertical="center"/>
    </xf>
    <xf numFmtId="3" fontId="7" fillId="0" borderId="1" xfId="15" applyNumberFormat="1" applyFont="1" applyFill="1" applyBorder="1" applyAlignment="1">
      <alignment horizontal="center" vertical="center"/>
    </xf>
    <xf numFmtId="3" fontId="2" fillId="4" borderId="1" xfId="15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" fontId="2" fillId="2" borderId="1" xfId="15" applyNumberFormat="1" applyFont="1" applyFill="1" applyBorder="1" applyAlignment="1">
      <alignment vertical="center"/>
    </xf>
    <xf numFmtId="38" fontId="7" fillId="0" borderId="1" xfId="15" applyNumberFormat="1" applyFont="1" applyFill="1" applyBorder="1" applyAlignment="1">
      <alignment horizontal="center" vertical="center"/>
    </xf>
    <xf numFmtId="1" fontId="2" fillId="4" borderId="1" xfId="15" applyNumberFormat="1" applyFont="1" applyFill="1" applyBorder="1" applyAlignment="1">
      <alignment vertical="center"/>
    </xf>
    <xf numFmtId="3" fontId="15" fillId="0" borderId="1" xfId="15" applyNumberFormat="1" applyFont="1" applyFill="1" applyBorder="1" applyAlignment="1">
      <alignment horizontal="center" vertical="center"/>
    </xf>
    <xf numFmtId="4" fontId="15" fillId="0" borderId="1" xfId="15" applyNumberFormat="1" applyFont="1" applyFill="1" applyBorder="1" applyAlignment="1">
      <alignment vertical="center"/>
    </xf>
    <xf numFmtId="3" fontId="15" fillId="2" borderId="1" xfId="15" applyNumberFormat="1" applyFont="1" applyFill="1" applyBorder="1" applyAlignment="1">
      <alignment horizontal="center" vertical="center"/>
    </xf>
    <xf numFmtId="4" fontId="15" fillId="2" borderId="1" xfId="15" applyNumberFormat="1" applyFont="1" applyFill="1" applyBorder="1" applyAlignment="1">
      <alignment vertical="center"/>
    </xf>
    <xf numFmtId="3" fontId="15" fillId="4" borderId="1" xfId="1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5" fillId="0" borderId="1" xfId="15" applyNumberFormat="1" applyFont="1" applyFill="1" applyBorder="1" applyAlignment="1">
      <alignment horizontal="center" vertical="center" wrapText="1"/>
    </xf>
    <xf numFmtId="3" fontId="15" fillId="0" borderId="1" xfId="15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9" fillId="0" borderId="1" xfId="15" applyNumberFormat="1" applyFont="1" applyFill="1" applyBorder="1" applyAlignment="1">
      <alignment horizontal="center" vertical="center"/>
    </xf>
    <xf numFmtId="3" fontId="21" fillId="0" borderId="1" xfId="15" applyNumberFormat="1" applyFont="1" applyFill="1" applyBorder="1" applyAlignment="1">
      <alignment horizontal="center" vertical="center"/>
    </xf>
    <xf numFmtId="3" fontId="19" fillId="6" borderId="1" xfId="17" applyNumberFormat="1" applyFont="1" applyFill="1" applyBorder="1" applyAlignment="1">
      <alignment vertical="center"/>
    </xf>
    <xf numFmtId="3" fontId="19" fillId="6" borderId="1" xfId="17" applyNumberFormat="1" applyFont="1" applyFill="1" applyBorder="1" applyAlignment="1">
      <alignment horizontal="center" vertical="center"/>
    </xf>
    <xf numFmtId="3" fontId="2" fillId="6" borderId="1" xfId="17" applyNumberFormat="1" applyFont="1" applyFill="1" applyBorder="1" applyAlignment="1">
      <alignment horizontal="center" vertical="center"/>
    </xf>
    <xf numFmtId="3" fontId="22" fillId="6" borderId="1" xfId="17" applyNumberFormat="1" applyFont="1" applyFill="1" applyBorder="1" applyAlignment="1">
      <alignment vertical="center"/>
    </xf>
    <xf numFmtId="3" fontId="21" fillId="6" borderId="1" xfId="17" applyNumberFormat="1" applyFont="1" applyFill="1" applyBorder="1" applyAlignment="1">
      <alignment horizontal="center" vertical="center"/>
    </xf>
    <xf numFmtId="3" fontId="7" fillId="2" borderId="1" xfId="17" applyNumberFormat="1" applyFont="1" applyFill="1" applyBorder="1" applyAlignment="1">
      <alignment horizontal="center" vertical="center"/>
    </xf>
    <xf numFmtId="3" fontId="23" fillId="6" borderId="1" xfId="17" applyNumberFormat="1" applyFont="1" applyFill="1" applyBorder="1" applyAlignment="1">
      <alignment vertical="center"/>
    </xf>
    <xf numFmtId="3" fontId="7" fillId="6" borderId="1" xfId="17" applyNumberFormat="1" applyFont="1" applyFill="1" applyBorder="1" applyAlignment="1">
      <alignment vertical="center"/>
    </xf>
    <xf numFmtId="3" fontId="19" fillId="2" borderId="1" xfId="17" applyNumberFormat="1" applyFont="1" applyFill="1" applyBorder="1" applyAlignment="1">
      <alignment horizontal="center" vertical="center"/>
    </xf>
    <xf numFmtId="3" fontId="19" fillId="4" borderId="1" xfId="17" applyNumberFormat="1" applyFont="1" applyFill="1" applyBorder="1" applyAlignment="1">
      <alignment horizontal="center" vertical="center"/>
    </xf>
    <xf numFmtId="3" fontId="23" fillId="0" borderId="1" xfId="15" applyNumberFormat="1" applyFont="1" applyFill="1" applyBorder="1" applyAlignment="1">
      <alignment horizontal="center" vertical="center"/>
    </xf>
    <xf numFmtId="3" fontId="19" fillId="2" borderId="1" xfId="17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3" fontId="19" fillId="7" borderId="1" xfId="17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5" fillId="8" borderId="1" xfId="15" applyNumberFormat="1" applyFont="1" applyFill="1" applyBorder="1" applyAlignment="1">
      <alignment horizontal="center" vertical="center"/>
    </xf>
    <xf numFmtId="4" fontId="15" fillId="8" borderId="1" xfId="15" applyNumberFormat="1" applyFont="1" applyFill="1" applyBorder="1" applyAlignment="1">
      <alignment vertical="center"/>
    </xf>
    <xf numFmtId="3" fontId="26" fillId="8" borderId="1" xfId="15" applyNumberFormat="1" applyFont="1" applyFill="1" applyBorder="1" applyAlignment="1">
      <alignment horizontal="center" vertical="center"/>
    </xf>
    <xf numFmtId="4" fontId="21" fillId="8" borderId="1" xfId="15" applyNumberFormat="1" applyFont="1" applyFill="1" applyBorder="1" applyAlignment="1">
      <alignment vertical="center"/>
    </xf>
    <xf numFmtId="3" fontId="15" fillId="8" borderId="1" xfId="15" applyNumberFormat="1" applyFont="1" applyFill="1" applyBorder="1" applyAlignment="1">
      <alignment vertical="center"/>
    </xf>
    <xf numFmtId="0" fontId="15" fillId="8" borderId="1" xfId="0" applyFont="1" applyFill="1" applyBorder="1" applyAlignment="1">
      <alignment vertical="center"/>
    </xf>
    <xf numFmtId="3" fontId="7" fillId="8" borderId="1" xfId="15" applyNumberFormat="1" applyFont="1" applyFill="1" applyBorder="1" applyAlignment="1">
      <alignment horizontal="center" vertical="center"/>
    </xf>
    <xf numFmtId="3" fontId="19" fillId="4" borderId="1" xfId="15" applyNumberFormat="1" applyFont="1" applyFill="1" applyBorder="1" applyAlignment="1">
      <alignment horizontal="center" vertical="center"/>
    </xf>
    <xf numFmtId="3" fontId="15" fillId="9" borderId="1" xfId="15" applyNumberFormat="1" applyFont="1" applyFill="1" applyBorder="1" applyAlignment="1">
      <alignment horizontal="center" vertical="center"/>
    </xf>
    <xf numFmtId="3" fontId="21" fillId="9" borderId="1" xfId="15" applyNumberFormat="1" applyFont="1" applyFill="1" applyBorder="1" applyAlignment="1">
      <alignment horizontal="center" vertical="center"/>
    </xf>
    <xf numFmtId="3" fontId="19" fillId="9" borderId="1" xfId="15" applyNumberFormat="1" applyFont="1" applyFill="1" applyBorder="1" applyAlignment="1">
      <alignment horizontal="center" vertical="center"/>
    </xf>
    <xf numFmtId="3" fontId="5" fillId="9" borderId="1" xfId="15" applyNumberFormat="1" applyFont="1" applyFill="1" applyBorder="1" applyAlignment="1">
      <alignment horizontal="center" vertical="center"/>
    </xf>
    <xf numFmtId="3" fontId="21" fillId="6" borderId="1" xfId="15" applyNumberFormat="1" applyFont="1" applyFill="1" applyBorder="1" applyAlignment="1">
      <alignment horizontal="center" vertical="center"/>
    </xf>
    <xf numFmtId="3" fontId="19" fillId="6" borderId="1" xfId="15" applyNumberFormat="1" applyFont="1" applyFill="1" applyBorder="1" applyAlignment="1">
      <alignment horizontal="center" vertical="center"/>
    </xf>
    <xf numFmtId="3" fontId="21" fillId="4" borderId="1" xfId="15" applyNumberFormat="1" applyFont="1" applyFill="1" applyBorder="1" applyAlignment="1">
      <alignment horizontal="center" vertical="center"/>
    </xf>
    <xf numFmtId="3" fontId="7" fillId="9" borderId="1" xfId="15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7" fillId="8" borderId="1" xfId="15" applyNumberFormat="1" applyFont="1" applyFill="1" applyBorder="1" applyAlignment="1">
      <alignment vertical="center"/>
    </xf>
    <xf numFmtId="3" fontId="7" fillId="4" borderId="1" xfId="15" applyNumberFormat="1" applyFont="1" applyFill="1" applyBorder="1" applyAlignment="1">
      <alignment horizontal="center" vertical="center"/>
    </xf>
    <xf numFmtId="3" fontId="15" fillId="10" borderId="1" xfId="15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49" fontId="9" fillId="2" borderId="1" xfId="15" applyNumberFormat="1" applyFont="1" applyFill="1" applyBorder="1" applyAlignment="1">
      <alignment horizontal="center" vertical="center"/>
    </xf>
    <xf numFmtId="49" fontId="9" fillId="0" borderId="1" xfId="15" applyNumberFormat="1" applyFont="1" applyFill="1" applyBorder="1" applyAlignment="1">
      <alignment horizontal="center" vertical="center"/>
    </xf>
    <xf numFmtId="3" fontId="2" fillId="10" borderId="1" xfId="15" applyNumberFormat="1" applyFont="1" applyFill="1" applyBorder="1" applyAlignment="1">
      <alignment horizontal="center" vertical="center"/>
    </xf>
    <xf numFmtId="3" fontId="2" fillId="5" borderId="1" xfId="15" applyNumberFormat="1" applyFont="1" applyFill="1" applyBorder="1" applyAlignment="1">
      <alignment horizontal="center" vertical="center"/>
    </xf>
    <xf numFmtId="3" fontId="21" fillId="10" borderId="1" xfId="15" applyNumberFormat="1" applyFont="1" applyFill="1" applyBorder="1" applyAlignment="1">
      <alignment horizontal="center" vertical="center"/>
    </xf>
    <xf numFmtId="3" fontId="19" fillId="10" borderId="1" xfId="15" applyNumberFormat="1" applyFont="1" applyFill="1" applyBorder="1" applyAlignment="1">
      <alignment horizontal="center" vertical="center"/>
    </xf>
    <xf numFmtId="49" fontId="14" fillId="0" borderId="1" xfId="15" applyNumberFormat="1" applyFont="1" applyFill="1" applyBorder="1" applyAlignment="1">
      <alignment horizontal="center" vertical="center"/>
    </xf>
    <xf numFmtId="1" fontId="7" fillId="0" borderId="1" xfId="15" applyNumberFormat="1" applyFont="1" applyFill="1" applyBorder="1" applyAlignment="1">
      <alignment vertical="center"/>
    </xf>
    <xf numFmtId="49" fontId="12" fillId="0" borderId="1" xfId="15" applyNumberFormat="1" applyFont="1" applyFill="1" applyBorder="1" applyAlignment="1">
      <alignment horizontal="center" vertical="center"/>
    </xf>
    <xf numFmtId="3" fontId="7" fillId="10" borderId="1" xfId="15" applyNumberFormat="1" applyFont="1" applyFill="1" applyBorder="1" applyAlignment="1">
      <alignment horizontal="center" vertical="center"/>
    </xf>
    <xf numFmtId="3" fontId="7" fillId="11" borderId="1" xfId="15" applyNumberFormat="1" applyFont="1" applyFill="1" applyBorder="1" applyAlignment="1">
      <alignment horizontal="center" vertical="center"/>
    </xf>
    <xf numFmtId="3" fontId="7" fillId="5" borderId="1" xfId="15" applyNumberFormat="1" applyFont="1" applyFill="1" applyBorder="1" applyAlignment="1">
      <alignment horizontal="center" vertical="center"/>
    </xf>
    <xf numFmtId="49" fontId="14" fillId="2" borderId="1" xfId="15" applyNumberFormat="1" applyFont="1" applyFill="1" applyBorder="1" applyAlignment="1">
      <alignment horizontal="center" vertical="center"/>
    </xf>
    <xf numFmtId="3" fontId="2" fillId="12" borderId="1" xfId="15" applyNumberFormat="1" applyFont="1" applyFill="1" applyBorder="1" applyAlignment="1">
      <alignment horizontal="center" vertical="center" wrapText="1"/>
    </xf>
    <xf numFmtId="49" fontId="9" fillId="0" borderId="1" xfId="15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center" vertical="center" wrapText="1"/>
    </xf>
    <xf numFmtId="49" fontId="10" fillId="0" borderId="1" xfId="15" applyNumberFormat="1" applyFont="1" applyFill="1" applyBorder="1" applyAlignment="1">
      <alignment horizontal="center" vertical="center" wrapText="1"/>
    </xf>
    <xf numFmtId="3" fontId="2" fillId="5" borderId="1" xfId="15" applyNumberFormat="1" applyFont="1" applyFill="1" applyBorder="1" applyAlignment="1">
      <alignment horizontal="center" vertical="center" wrapText="1"/>
    </xf>
    <xf numFmtId="3" fontId="2" fillId="12" borderId="1" xfId="15" applyNumberFormat="1" applyFont="1" applyFill="1" applyBorder="1" applyAlignment="1">
      <alignment horizontal="center" vertical="center"/>
    </xf>
    <xf numFmtId="3" fontId="21" fillId="3" borderId="1" xfId="15" applyNumberFormat="1" applyFont="1" applyFill="1" applyBorder="1" applyAlignment="1">
      <alignment horizontal="center" vertical="center"/>
    </xf>
    <xf numFmtId="3" fontId="5" fillId="10" borderId="1" xfId="15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49" fontId="9" fillId="4" borderId="1" xfId="15" applyNumberFormat="1" applyFont="1" applyFill="1" applyBorder="1" applyAlignment="1">
      <alignment horizontal="center" vertical="center"/>
    </xf>
    <xf numFmtId="3" fontId="29" fillId="4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19" fillId="3" borderId="1" xfId="15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2" xfId="15" applyNumberFormat="1" applyFont="1" applyFill="1" applyBorder="1" applyAlignment="1">
      <alignment vertical="center"/>
    </xf>
    <xf numFmtId="3" fontId="2" fillId="2" borderId="2" xfId="15" applyNumberFormat="1" applyFont="1" applyFill="1" applyBorder="1" applyAlignment="1">
      <alignment horizontal="center" vertical="center"/>
    </xf>
    <xf numFmtId="49" fontId="9" fillId="2" borderId="2" xfId="15" applyNumberFormat="1" applyFont="1" applyFill="1" applyBorder="1" applyAlignment="1">
      <alignment horizontal="center" vertical="center"/>
    </xf>
    <xf numFmtId="3" fontId="19" fillId="2" borderId="2" xfId="17" applyNumberFormat="1" applyFont="1" applyFill="1" applyBorder="1" applyAlignment="1">
      <alignment horizontal="center" vertical="center"/>
    </xf>
    <xf numFmtId="3" fontId="15" fillId="2" borderId="2" xfId="15" applyNumberFormat="1" applyFont="1" applyFill="1" applyBorder="1" applyAlignment="1">
      <alignment horizontal="center" vertical="center"/>
    </xf>
    <xf numFmtId="3" fontId="7" fillId="2" borderId="2" xfId="15" applyNumberFormat="1" applyFont="1" applyFill="1" applyBorder="1" applyAlignment="1">
      <alignment horizontal="center" vertical="center"/>
    </xf>
    <xf numFmtId="3" fontId="2" fillId="3" borderId="2" xfId="15" applyNumberFormat="1" applyFont="1" applyFill="1" applyBorder="1" applyAlignment="1">
      <alignment horizontal="center" vertical="center"/>
    </xf>
    <xf numFmtId="1" fontId="1" fillId="13" borderId="3" xfId="15" applyNumberFormat="1" applyFont="1" applyFill="1" applyBorder="1" applyAlignment="1">
      <alignment horizontal="center" vertical="center" wrapText="1"/>
    </xf>
    <xf numFmtId="3" fontId="1" fillId="13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2" fillId="12" borderId="5" xfId="15" applyNumberFormat="1" applyFont="1" applyFill="1" applyBorder="1" applyAlignment="1">
      <alignment horizontal="center" vertical="center"/>
    </xf>
    <xf numFmtId="49" fontId="9" fillId="0" borderId="6" xfId="15" applyNumberFormat="1" applyFont="1" applyFill="1" applyBorder="1" applyAlignment="1">
      <alignment horizontal="center" vertical="center"/>
    </xf>
    <xf numFmtId="3" fontId="2" fillId="0" borderId="5" xfId="15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7" fillId="0" borderId="5" xfId="15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14" borderId="1" xfId="15" applyNumberFormat="1" applyFont="1" applyFill="1" applyBorder="1" applyAlignment="1">
      <alignment horizontal="center" vertical="center"/>
    </xf>
    <xf numFmtId="1" fontId="33" fillId="0" borderId="1" xfId="15" applyNumberFormat="1" applyFont="1" applyFill="1" applyBorder="1" applyAlignment="1">
      <alignment vertical="center" wrapText="1"/>
    </xf>
    <xf numFmtId="3" fontId="33" fillId="0" borderId="1" xfId="24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3" fillId="0" borderId="1" xfId="15" applyNumberFormat="1" applyFont="1" applyFill="1" applyBorder="1" applyAlignment="1">
      <alignment horizontal="center" vertical="center"/>
    </xf>
    <xf numFmtId="1" fontId="32" fillId="0" borderId="1" xfId="15" applyNumberFormat="1" applyFont="1" applyFill="1" applyBorder="1" applyAlignment="1">
      <alignment vertical="center" wrapText="1"/>
    </xf>
    <xf numFmtId="3" fontId="32" fillId="0" borderId="1" xfId="24" applyNumberFormat="1" applyFont="1" applyFill="1" applyBorder="1" applyAlignment="1">
      <alignment horizontal="center" vertical="center"/>
    </xf>
    <xf numFmtId="169" fontId="33" fillId="0" borderId="1" xfId="15" applyNumberFormat="1" applyFont="1" applyFill="1" applyBorder="1" applyAlignment="1">
      <alignment horizontal="center" vertical="center"/>
    </xf>
    <xf numFmtId="3" fontId="35" fillId="0" borderId="1" xfId="24" applyNumberFormat="1" applyFont="1" applyFill="1" applyBorder="1" applyAlignment="1">
      <alignment horizontal="center" vertical="center"/>
    </xf>
    <xf numFmtId="1" fontId="33" fillId="0" borderId="2" xfId="15" applyNumberFormat="1" applyFont="1" applyFill="1" applyBorder="1" applyAlignment="1">
      <alignment vertical="center" wrapText="1"/>
    </xf>
    <xf numFmtId="3" fontId="33" fillId="0" borderId="2" xfId="15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1" fontId="36" fillId="4" borderId="1" xfId="15" applyNumberFormat="1" applyFont="1" applyFill="1" applyBorder="1" applyAlignment="1">
      <alignment vertical="center" wrapText="1"/>
    </xf>
    <xf numFmtId="3" fontId="36" fillId="4" borderId="1" xfId="15" applyNumberFormat="1" applyFont="1" applyFill="1" applyBorder="1" applyAlignment="1">
      <alignment horizontal="center" vertical="center"/>
    </xf>
    <xf numFmtId="1" fontId="37" fillId="4" borderId="1" xfId="15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3" fontId="32" fillId="0" borderId="1" xfId="15" applyNumberFormat="1" applyFont="1" applyFill="1" applyBorder="1" applyAlignment="1">
      <alignment horizontal="center" vertical="center"/>
    </xf>
    <xf numFmtId="3" fontId="35" fillId="0" borderId="1" xfId="15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" fillId="13" borderId="4" xfId="15" applyNumberFormat="1" applyFont="1" applyFill="1" applyBorder="1" applyAlignment="1">
      <alignment horizontal="center" vertical="center"/>
    </xf>
    <xf numFmtId="49" fontId="9" fillId="13" borderId="4" xfId="15" applyNumberFormat="1" applyFont="1" applyFill="1" applyBorder="1" applyAlignment="1">
      <alignment horizontal="center" vertical="center"/>
    </xf>
    <xf numFmtId="3" fontId="1" fillId="15" borderId="4" xfId="22" applyNumberFormat="1" applyFont="1" applyFill="1" applyBorder="1" applyAlignment="1">
      <alignment horizontal="center" vertical="center"/>
      <protection/>
    </xf>
    <xf numFmtId="3" fontId="1" fillId="15" borderId="4" xfId="17" applyNumberFormat="1" applyFont="1" applyFill="1" applyBorder="1" applyAlignment="1">
      <alignment horizontal="left" vertical="center"/>
    </xf>
    <xf numFmtId="3" fontId="1" fillId="15" borderId="4" xfId="15" applyNumberFormat="1" applyFont="1" applyFill="1" applyBorder="1" applyAlignment="1">
      <alignment horizontal="center" vertical="center"/>
    </xf>
    <xf numFmtId="43" fontId="1" fillId="13" borderId="4" xfId="15" applyFont="1" applyFill="1" applyBorder="1" applyAlignment="1">
      <alignment horizontal="left" vertical="center"/>
    </xf>
    <xf numFmtId="3" fontId="1" fillId="16" borderId="4" xfId="15" applyNumberFormat="1" applyFont="1" applyFill="1" applyBorder="1" applyAlignment="1">
      <alignment horizontal="center" vertical="center"/>
    </xf>
    <xf numFmtId="3" fontId="7" fillId="15" borderId="4" xfId="17" applyNumberFormat="1" applyFont="1" applyFill="1" applyBorder="1" applyAlignment="1">
      <alignment horizontal="left" vertical="center"/>
    </xf>
    <xf numFmtId="3" fontId="3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1" fontId="33" fillId="0" borderId="1" xfId="15" applyNumberFormat="1" applyFont="1" applyFill="1" applyBorder="1" applyAlignment="1">
      <alignment horizontal="left" vertical="center" wrapText="1"/>
    </xf>
    <xf numFmtId="3" fontId="19" fillId="6" borderId="1" xfId="22" applyNumberFormat="1" applyFont="1" applyFill="1" applyBorder="1" applyAlignment="1">
      <alignment vertical="center"/>
      <protection/>
    </xf>
    <xf numFmtId="3" fontId="20" fillId="6" borderId="1" xfId="22" applyNumberFormat="1" applyFont="1" applyFill="1" applyBorder="1" applyAlignment="1">
      <alignment vertical="center"/>
      <protection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38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3" fontId="2" fillId="0" borderId="0" xfId="15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horizontal="center" vertical="center"/>
    </xf>
    <xf numFmtId="3" fontId="30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9" fontId="40" fillId="0" borderId="1" xfId="15" applyNumberFormat="1" applyFont="1" applyFill="1" applyBorder="1" applyAlignment="1">
      <alignment horizontal="center" vertical="center"/>
    </xf>
    <xf numFmtId="3" fontId="41" fillId="0" borderId="1" xfId="15" applyNumberFormat="1" applyFont="1" applyFill="1" applyBorder="1" applyAlignment="1">
      <alignment horizontal="center" vertical="center"/>
    </xf>
    <xf numFmtId="3" fontId="42" fillId="0" borderId="1" xfId="15" applyNumberFormat="1" applyFont="1" applyFill="1" applyBorder="1" applyAlignment="1">
      <alignment horizontal="center" vertical="center"/>
    </xf>
    <xf numFmtId="38" fontId="39" fillId="0" borderId="1" xfId="15" applyNumberFormat="1" applyFont="1" applyFill="1" applyBorder="1" applyAlignment="1">
      <alignment horizontal="center" vertical="center"/>
    </xf>
    <xf numFmtId="3" fontId="39" fillId="0" borderId="1" xfId="15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8" fontId="32" fillId="0" borderId="1" xfId="15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 wrapText="1"/>
    </xf>
    <xf numFmtId="3" fontId="7" fillId="0" borderId="1" xfId="15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49" fontId="45" fillId="0" borderId="1" xfId="15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3" fontId="50" fillId="0" borderId="1" xfId="15" applyNumberFormat="1" applyFont="1" applyFill="1" applyBorder="1" applyAlignment="1">
      <alignment horizontal="center" vertical="center"/>
    </xf>
    <xf numFmtId="3" fontId="43" fillId="0" borderId="1" xfId="15" applyNumberFormat="1" applyFont="1" applyFill="1" applyBorder="1" applyAlignment="1">
      <alignment horizontal="center" vertical="center"/>
    </xf>
    <xf numFmtId="3" fontId="52" fillId="0" borderId="1" xfId="15" applyNumberFormat="1" applyFont="1" applyFill="1" applyBorder="1" applyAlignment="1">
      <alignment horizontal="center" vertical="center"/>
    </xf>
    <xf numFmtId="49" fontId="53" fillId="0" borderId="1" xfId="15" applyNumberFormat="1" applyFont="1" applyFill="1" applyBorder="1" applyAlignment="1">
      <alignment horizontal="center" vertical="center"/>
    </xf>
    <xf numFmtId="3" fontId="54" fillId="0" borderId="1" xfId="15" applyNumberFormat="1" applyFont="1" applyFill="1" applyBorder="1" applyAlignment="1">
      <alignment horizontal="center" vertical="center"/>
    </xf>
    <xf numFmtId="3" fontId="51" fillId="0" borderId="1" xfId="15" applyNumberFormat="1" applyFont="1" applyFill="1" applyBorder="1" applyAlignment="1">
      <alignment horizontal="center" vertical="center"/>
    </xf>
    <xf numFmtId="3" fontId="55" fillId="0" borderId="1" xfId="15" applyNumberFormat="1" applyFont="1" applyFill="1" applyBorder="1" applyAlignment="1">
      <alignment horizontal="center" vertical="center"/>
    </xf>
    <xf numFmtId="49" fontId="56" fillId="0" borderId="1" xfId="15" applyNumberFormat="1" applyFont="1" applyFill="1" applyBorder="1" applyAlignment="1">
      <alignment horizontal="center" vertical="center"/>
    </xf>
    <xf numFmtId="3" fontId="1" fillId="13" borderId="7" xfId="15" applyNumberFormat="1" applyFont="1" applyFill="1" applyBorder="1" applyAlignment="1">
      <alignment horizontal="center" vertical="center"/>
    </xf>
    <xf numFmtId="49" fontId="9" fillId="13" borderId="7" xfId="15" applyNumberFormat="1" applyFont="1" applyFill="1" applyBorder="1" applyAlignment="1">
      <alignment horizontal="center" vertical="center"/>
    </xf>
    <xf numFmtId="3" fontId="1" fillId="13" borderId="7" xfId="0" applyNumberFormat="1" applyFont="1" applyFill="1" applyBorder="1" applyAlignment="1">
      <alignment horizontal="center" vertical="center"/>
    </xf>
    <xf numFmtId="3" fontId="1" fillId="15" borderId="7" xfId="22" applyNumberFormat="1" applyFont="1" applyFill="1" applyBorder="1" applyAlignment="1">
      <alignment horizontal="center" vertical="center"/>
      <protection/>
    </xf>
    <xf numFmtId="3" fontId="1" fillId="15" borderId="7" xfId="17" applyNumberFormat="1" applyFont="1" applyFill="1" applyBorder="1" applyAlignment="1">
      <alignment horizontal="left" vertical="center"/>
    </xf>
    <xf numFmtId="3" fontId="1" fillId="15" borderId="7" xfId="15" applyNumberFormat="1" applyFont="1" applyFill="1" applyBorder="1" applyAlignment="1">
      <alignment horizontal="center" vertical="center"/>
    </xf>
    <xf numFmtId="43" fontId="1" fillId="13" borderId="7" xfId="15" applyFont="1" applyFill="1" applyBorder="1" applyAlignment="1">
      <alignment horizontal="left" vertical="center"/>
    </xf>
    <xf numFmtId="3" fontId="1" fillId="16" borderId="7" xfId="15" applyNumberFormat="1" applyFont="1" applyFill="1" applyBorder="1" applyAlignment="1">
      <alignment horizontal="center" vertical="center"/>
    </xf>
    <xf numFmtId="3" fontId="7" fillId="15" borderId="7" xfId="17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16" fillId="8" borderId="2" xfId="0" applyNumberFormat="1" applyFont="1" applyFill="1" applyBorder="1" applyAlignment="1">
      <alignment vertical="center"/>
    </xf>
    <xf numFmtId="3" fontId="0" fillId="8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3" fontId="0" fillId="9" borderId="2" xfId="0" applyNumberFormat="1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3" fontId="13" fillId="9" borderId="2" xfId="0" applyNumberFormat="1" applyFont="1" applyFill="1" applyBorder="1" applyAlignment="1">
      <alignment horizontal="center" vertical="center"/>
    </xf>
    <xf numFmtId="3" fontId="2" fillId="10" borderId="2" xfId="15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3" fontId="4" fillId="0" borderId="1" xfId="15" applyNumberFormat="1" applyFont="1" applyFill="1" applyBorder="1" applyAlignment="1">
      <alignment horizontal="center" vertical="center"/>
    </xf>
    <xf numFmtId="3" fontId="14" fillId="0" borderId="1" xfId="15" applyNumberFormat="1" applyFont="1" applyFill="1" applyBorder="1" applyAlignment="1">
      <alignment horizontal="center" vertical="center"/>
    </xf>
    <xf numFmtId="3" fontId="17" fillId="0" borderId="1" xfId="15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5" fillId="0" borderId="1" xfId="17" applyNumberFormat="1" applyFont="1" applyFill="1" applyBorder="1" applyAlignment="1">
      <alignment horizontal="center" vertical="center"/>
    </xf>
    <xf numFmtId="3" fontId="39" fillId="0" borderId="1" xfId="17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49" fontId="32" fillId="0" borderId="1" xfId="15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23" fillId="0" borderId="1" xfId="17" applyNumberFormat="1" applyFont="1" applyFill="1" applyBorder="1" applyAlignment="1">
      <alignment vertical="center"/>
    </xf>
    <xf numFmtId="3" fontId="23" fillId="0" borderId="1" xfId="17" applyNumberFormat="1" applyFont="1" applyFill="1" applyBorder="1" applyAlignment="1">
      <alignment horizontal="center" vertical="center"/>
    </xf>
    <xf numFmtId="3" fontId="26" fillId="0" borderId="1" xfId="15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5" fillId="0" borderId="1" xfId="15" applyNumberFormat="1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8" fontId="6" fillId="0" borderId="1" xfId="15" applyNumberFormat="1" applyFont="1" applyFill="1" applyBorder="1" applyAlignment="1">
      <alignment horizontal="center" vertical="center"/>
    </xf>
    <xf numFmtId="49" fontId="39" fillId="0" borderId="1" xfId="15" applyNumberFormat="1" applyFont="1" applyFill="1" applyBorder="1" applyAlignment="1">
      <alignment horizontal="center" vertical="center"/>
    </xf>
    <xf numFmtId="3" fontId="35" fillId="0" borderId="1" xfId="17" applyNumberFormat="1" applyFont="1" applyFill="1" applyBorder="1" applyAlignment="1">
      <alignment vertical="center"/>
    </xf>
    <xf numFmtId="3" fontId="41" fillId="0" borderId="1" xfId="15" applyNumberFormat="1" applyFont="1" applyFill="1" applyBorder="1" applyAlignment="1">
      <alignment vertical="center"/>
    </xf>
    <xf numFmtId="3" fontId="35" fillId="0" borderId="1" xfId="22" applyNumberFormat="1" applyFont="1" applyFill="1" applyBorder="1" applyAlignment="1">
      <alignment vertical="center"/>
      <protection/>
    </xf>
    <xf numFmtId="3" fontId="39" fillId="0" borderId="1" xfId="17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vertical="center"/>
    </xf>
    <xf numFmtId="3" fontId="39" fillId="0" borderId="1" xfId="22" applyNumberFormat="1" applyFont="1" applyFill="1" applyBorder="1" applyAlignment="1">
      <alignment horizontal="center" vertical="center" wrapText="1"/>
      <protection/>
    </xf>
    <xf numFmtId="0" fontId="39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3" fontId="35" fillId="0" borderId="1" xfId="22" applyNumberFormat="1" applyFont="1" applyFill="1" applyBorder="1" applyAlignment="1">
      <alignment horizontal="center" vertical="center" wrapText="1"/>
      <protection/>
    </xf>
    <xf numFmtId="3" fontId="5" fillId="0" borderId="1" xfId="0" applyNumberFormat="1" applyFont="1" applyFill="1" applyBorder="1" applyAlignment="1">
      <alignment horizontal="center" vertical="center"/>
    </xf>
    <xf numFmtId="3" fontId="38" fillId="0" borderId="1" xfId="15" applyNumberFormat="1" applyFont="1" applyFill="1" applyBorder="1" applyAlignment="1">
      <alignment horizontal="center" vertical="center"/>
    </xf>
    <xf numFmtId="49" fontId="46" fillId="0" borderId="1" xfId="15" applyNumberFormat="1" applyFont="1" applyFill="1" applyBorder="1" applyAlignment="1">
      <alignment horizontal="center" vertical="center"/>
    </xf>
    <xf numFmtId="3" fontId="47" fillId="0" borderId="1" xfId="15" applyNumberFormat="1" applyFont="1" applyFill="1" applyBorder="1" applyAlignment="1">
      <alignment horizontal="center" vertical="center"/>
    </xf>
    <xf numFmtId="3" fontId="36" fillId="0" borderId="1" xfId="15" applyNumberFormat="1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3" fontId="6" fillId="0" borderId="1" xfId="15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23" fillId="0" borderId="1" xfId="22" applyNumberFormat="1" applyFont="1" applyFill="1" applyBorder="1" applyAlignment="1">
      <alignment horizontal="center" vertical="center" wrapText="1"/>
      <protection/>
    </xf>
    <xf numFmtId="3" fontId="42" fillId="0" borderId="1" xfId="17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3" fontId="42" fillId="0" borderId="1" xfId="17" applyNumberFormat="1" applyFont="1" applyFill="1" applyBorder="1" applyAlignment="1">
      <alignment horizontal="center" vertical="center"/>
    </xf>
    <xf numFmtId="3" fontId="41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49" fontId="43" fillId="0" borderId="1" xfId="15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3" fontId="43" fillId="0" borderId="1" xfId="17" applyNumberFormat="1" applyFont="1" applyFill="1" applyBorder="1" applyAlignment="1">
      <alignment vertical="center"/>
    </xf>
    <xf numFmtId="3" fontId="43" fillId="0" borderId="1" xfId="17" applyNumberFormat="1" applyFont="1" applyFill="1" applyBorder="1" applyAlignment="1">
      <alignment horizontal="center" vertical="center"/>
    </xf>
    <xf numFmtId="3" fontId="51" fillId="0" borderId="1" xfId="15" applyNumberFormat="1" applyFont="1" applyFill="1" applyBorder="1" applyAlignment="1">
      <alignment vertical="center"/>
    </xf>
    <xf numFmtId="3" fontId="52" fillId="0" borderId="1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/>
    </xf>
    <xf numFmtId="3" fontId="54" fillId="0" borderId="1" xfId="17" applyNumberFormat="1" applyFont="1" applyFill="1" applyBorder="1" applyAlignment="1">
      <alignment vertical="center"/>
    </xf>
    <xf numFmtId="3" fontId="55" fillId="0" borderId="1" xfId="17" applyNumberFormat="1" applyFont="1" applyFill="1" applyBorder="1" applyAlignment="1">
      <alignment vertical="center"/>
    </xf>
    <xf numFmtId="3" fontId="55" fillId="0" borderId="1" xfId="15" applyNumberFormat="1" applyFont="1" applyFill="1" applyBorder="1" applyAlignment="1">
      <alignment vertical="center"/>
    </xf>
    <xf numFmtId="0" fontId="55" fillId="0" borderId="1" xfId="0" applyFont="1" applyFill="1" applyBorder="1" applyAlignment="1">
      <alignment vertical="center"/>
    </xf>
    <xf numFmtId="3" fontId="5" fillId="0" borderId="1" xfId="17" applyNumberFormat="1" applyFont="1" applyFill="1" applyBorder="1" applyAlignment="1">
      <alignment vertical="center"/>
    </xf>
    <xf numFmtId="3" fontId="5" fillId="0" borderId="1" xfId="17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9" fillId="0" borderId="1" xfId="17" applyNumberFormat="1" applyFont="1" applyFill="1" applyBorder="1" applyAlignment="1">
      <alignment horizontal="center" vertical="center"/>
    </xf>
    <xf numFmtId="3" fontId="19" fillId="0" borderId="1" xfId="17" applyNumberFormat="1" applyFont="1" applyFill="1" applyBorder="1" applyAlignment="1">
      <alignment vertical="center"/>
    </xf>
    <xf numFmtId="3" fontId="35" fillId="0" borderId="1" xfId="22" applyNumberFormat="1" applyFont="1" applyFill="1" applyBorder="1" applyAlignment="1">
      <alignment horizontal="center" vertical="center"/>
      <protection/>
    </xf>
    <xf numFmtId="49" fontId="40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8" fillId="0" borderId="1" xfId="15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181" fontId="17" fillId="0" borderId="1" xfId="0" applyNumberFormat="1" applyFont="1" applyFill="1" applyBorder="1" applyAlignment="1">
      <alignment horizontal="center" vertical="center" wrapText="1"/>
    </xf>
    <xf numFmtId="3" fontId="19" fillId="0" borderId="1" xfId="22" applyNumberFormat="1" applyFont="1" applyFill="1" applyBorder="1" applyAlignment="1">
      <alignment horizontal="center" vertical="center" wrapText="1"/>
      <protection/>
    </xf>
    <xf numFmtId="3" fontId="19" fillId="0" borderId="1" xfId="1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2" fillId="0" borderId="5" xfId="15" applyNumberFormat="1" applyFont="1" applyFill="1" applyBorder="1" applyAlignment="1">
      <alignment vertical="center"/>
    </xf>
    <xf numFmtId="1" fontId="5" fillId="0" borderId="5" xfId="15" applyNumberFormat="1" applyFont="1" applyFill="1" applyBorder="1" applyAlignment="1">
      <alignment vertical="center"/>
    </xf>
    <xf numFmtId="1" fontId="7" fillId="3" borderId="5" xfId="15" applyNumberFormat="1" applyFont="1" applyFill="1" applyBorder="1" applyAlignment="1">
      <alignment vertical="center"/>
    </xf>
    <xf numFmtId="1" fontId="2" fillId="4" borderId="5" xfId="15" applyNumberFormat="1" applyFont="1" applyFill="1" applyBorder="1" applyAlignment="1">
      <alignment vertical="center"/>
    </xf>
    <xf numFmtId="1" fontId="2" fillId="3" borderId="5" xfId="15" applyNumberFormat="1" applyFont="1" applyFill="1" applyBorder="1" applyAlignment="1">
      <alignment vertical="center"/>
    </xf>
    <xf numFmtId="1" fontId="2" fillId="2" borderId="5" xfId="15" applyNumberFormat="1" applyFont="1" applyFill="1" applyBorder="1" applyAlignment="1">
      <alignment vertical="center"/>
    </xf>
    <xf numFmtId="1" fontId="5" fillId="4" borderId="5" xfId="15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right" vertical="center" wrapText="1"/>
    </xf>
    <xf numFmtId="1" fontId="5" fillId="3" borderId="5" xfId="15" applyNumberFormat="1" applyFont="1" applyFill="1" applyBorder="1" applyAlignment="1">
      <alignment vertical="center"/>
    </xf>
    <xf numFmtId="1" fontId="7" fillId="0" borderId="5" xfId="15" applyNumberFormat="1" applyFont="1" applyFill="1" applyBorder="1" applyAlignment="1">
      <alignment vertical="center"/>
    </xf>
    <xf numFmtId="1" fontId="5" fillId="2" borderId="5" xfId="15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1" fontId="14" fillId="3" borderId="5" xfId="15" applyNumberFormat="1" applyFont="1" applyFill="1" applyBorder="1" applyAlignment="1">
      <alignment vertical="center"/>
    </xf>
    <xf numFmtId="1" fontId="5" fillId="0" borderId="5" xfId="15" applyNumberFormat="1" applyFont="1" applyFill="1" applyBorder="1" applyAlignment="1">
      <alignment horizontal="right" vertical="center" wrapText="1"/>
    </xf>
    <xf numFmtId="1" fontId="2" fillId="12" borderId="5" xfId="15" applyNumberFormat="1" applyFont="1" applyFill="1" applyBorder="1" applyAlignment="1">
      <alignment vertical="center"/>
    </xf>
    <xf numFmtId="1" fontId="2" fillId="0" borderId="5" xfId="15" applyNumberFormat="1" applyFont="1" applyFill="1" applyBorder="1" applyAlignment="1">
      <alignment horizontal="right" vertical="center" wrapText="1"/>
    </xf>
    <xf numFmtId="1" fontId="7" fillId="0" borderId="5" xfId="15" applyNumberFormat="1" applyFont="1" applyFill="1" applyBorder="1" applyAlignment="1">
      <alignment horizontal="right" vertical="center" wrapText="1"/>
    </xf>
    <xf numFmtId="1" fontId="5" fillId="12" borderId="5" xfId="15" applyNumberFormat="1" applyFont="1" applyFill="1" applyBorder="1" applyAlignment="1">
      <alignment horizontal="center" vertical="center" wrapText="1"/>
    </xf>
    <xf numFmtId="1" fontId="5" fillId="3" borderId="5" xfId="15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1" fontId="5" fillId="2" borderId="5" xfId="15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5" fillId="0" borderId="5" xfId="15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3" fontId="14" fillId="0" borderId="10" xfId="15" applyNumberFormat="1" applyFont="1" applyFill="1" applyBorder="1" applyAlignment="1">
      <alignment horizontal="center" vertical="center"/>
    </xf>
    <xf numFmtId="1" fontId="32" fillId="0" borderId="9" xfId="15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1" fontId="7" fillId="0" borderId="9" xfId="15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3" fontId="38" fillId="0" borderId="10" xfId="15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32" fillId="0" borderId="10" xfId="15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1" fontId="43" fillId="0" borderId="9" xfId="15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49" fontId="57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60" fillId="0" borderId="4" xfId="22" applyNumberFormat="1" applyFont="1" applyFill="1" applyBorder="1" applyAlignment="1">
      <alignment horizontal="center" vertical="center" wrapText="1"/>
      <protection/>
    </xf>
    <xf numFmtId="3" fontId="58" fillId="0" borderId="4" xfId="15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2" fillId="0" borderId="0" xfId="15" applyNumberFormat="1" applyFont="1" applyFill="1" applyBorder="1" applyAlignment="1">
      <alignment horizontal="center" vertical="center"/>
    </xf>
    <xf numFmtId="49" fontId="9" fillId="0" borderId="0" xfId="15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3" fontId="1" fillId="15" borderId="3" xfId="15" applyNumberFormat="1" applyFont="1" applyFill="1" applyBorder="1" applyAlignment="1">
      <alignment horizontal="center" vertical="center" wrapText="1"/>
    </xf>
    <xf numFmtId="3" fontId="1" fillId="13" borderId="3" xfId="0" applyNumberFormat="1" applyFont="1" applyFill="1" applyBorder="1" applyAlignment="1">
      <alignment horizontal="center" vertical="center"/>
    </xf>
    <xf numFmtId="3" fontId="1" fillId="13" borderId="3" xfId="0" applyNumberFormat="1" applyFont="1" applyFill="1" applyBorder="1" applyAlignment="1">
      <alignment horizontal="center" vertical="center" wrapText="1"/>
    </xf>
    <xf numFmtId="3" fontId="1" fillId="13" borderId="4" xfId="0" applyNumberFormat="1" applyFont="1" applyFill="1" applyBorder="1" applyAlignment="1">
      <alignment horizontal="center" vertical="center" wrapText="1"/>
    </xf>
    <xf numFmtId="3" fontId="1" fillId="13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15" borderId="3" xfId="22" applyNumberFormat="1" applyFont="1" applyFill="1" applyBorder="1" applyAlignment="1">
      <alignment horizontal="center" vertical="center" wrapText="1"/>
      <protection/>
    </xf>
    <xf numFmtId="3" fontId="1" fillId="15" borderId="3" xfId="15" applyNumberFormat="1" applyFont="1" applyFill="1" applyBorder="1" applyAlignment="1">
      <alignment horizontal="center" vertical="center"/>
    </xf>
    <xf numFmtId="1" fontId="1" fillId="13" borderId="3" xfId="0" applyNumberFormat="1" applyFont="1" applyFill="1" applyBorder="1" applyAlignment="1">
      <alignment horizontal="center" vertical="center"/>
    </xf>
    <xf numFmtId="1" fontId="1" fillId="13" borderId="14" xfId="15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13" borderId="3" xfId="15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1" fillId="13" borderId="3" xfId="15" applyNumberFormat="1" applyFont="1" applyFill="1" applyBorder="1" applyAlignment="1">
      <alignment horizontal="center" vertical="center" wrapText="1"/>
    </xf>
    <xf numFmtId="1" fontId="1" fillId="13" borderId="15" xfId="15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15" borderId="13" xfId="0" applyNumberFormat="1" applyFont="1" applyFill="1" applyBorder="1" applyAlignment="1">
      <alignment horizontal="center" vertical="center" wrapText="1"/>
    </xf>
    <xf numFmtId="3" fontId="1" fillId="15" borderId="17" xfId="0" applyNumberFormat="1" applyFont="1" applyFill="1" applyBorder="1" applyAlignment="1">
      <alignment horizontal="center" vertical="center" wrapText="1"/>
    </xf>
    <xf numFmtId="3" fontId="1" fillId="15" borderId="18" xfId="15" applyNumberFormat="1" applyFont="1" applyFill="1" applyBorder="1" applyAlignment="1">
      <alignment horizontal="center" vertical="center" wrapText="1"/>
    </xf>
    <xf numFmtId="3" fontId="1" fillId="15" borderId="19" xfId="15" applyNumberFormat="1" applyFont="1" applyFill="1" applyBorder="1" applyAlignment="1">
      <alignment horizontal="center" vertical="center" wrapText="1"/>
    </xf>
    <xf numFmtId="3" fontId="1" fillId="13" borderId="18" xfId="0" applyNumberFormat="1" applyFont="1" applyFill="1" applyBorder="1" applyAlignment="1">
      <alignment horizontal="center" vertical="center"/>
    </xf>
    <xf numFmtId="3" fontId="1" fillId="13" borderId="19" xfId="0" applyNumberFormat="1" applyFont="1" applyFill="1" applyBorder="1" applyAlignment="1">
      <alignment horizontal="center" vertical="center"/>
    </xf>
    <xf numFmtId="3" fontId="1" fillId="13" borderId="15" xfId="0" applyNumberFormat="1" applyFont="1" applyFill="1" applyBorder="1" applyAlignment="1">
      <alignment horizontal="center" vertical="center" wrapText="1"/>
    </xf>
    <xf numFmtId="3" fontId="1" fillId="13" borderId="20" xfId="0" applyNumberFormat="1" applyFont="1" applyFill="1" applyBorder="1" applyAlignment="1">
      <alignment horizontal="center" vertical="center" wrapText="1"/>
    </xf>
    <xf numFmtId="3" fontId="1" fillId="13" borderId="21" xfId="0" applyNumberFormat="1" applyFont="1" applyFill="1" applyBorder="1" applyAlignment="1">
      <alignment horizontal="center" vertical="center" wrapText="1"/>
    </xf>
    <xf numFmtId="3" fontId="1" fillId="13" borderId="22" xfId="0" applyNumberFormat="1" applyFont="1" applyFill="1" applyBorder="1" applyAlignment="1">
      <alignment horizontal="center" vertical="center" wrapText="1"/>
    </xf>
    <xf numFmtId="3" fontId="1" fillId="15" borderId="18" xfId="22" applyNumberFormat="1" applyFont="1" applyFill="1" applyBorder="1" applyAlignment="1">
      <alignment horizontal="center" vertical="center" wrapText="1"/>
      <protection/>
    </xf>
    <xf numFmtId="3" fontId="1" fillId="15" borderId="19" xfId="22" applyNumberFormat="1" applyFont="1" applyFill="1" applyBorder="1" applyAlignment="1">
      <alignment horizontal="center" vertical="center" wrapText="1"/>
      <protection/>
    </xf>
    <xf numFmtId="3" fontId="1" fillId="15" borderId="18" xfId="15" applyNumberFormat="1" applyFont="1" applyFill="1" applyBorder="1" applyAlignment="1">
      <alignment horizontal="center" vertical="center"/>
    </xf>
    <xf numFmtId="3" fontId="1" fillId="15" borderId="19" xfId="15" applyNumberFormat="1" applyFont="1" applyFill="1" applyBorder="1" applyAlignment="1">
      <alignment horizontal="center" vertical="center"/>
    </xf>
    <xf numFmtId="1" fontId="1" fillId="13" borderId="18" xfId="0" applyNumberFormat="1" applyFont="1" applyFill="1" applyBorder="1" applyAlignment="1">
      <alignment horizontal="center" vertical="center"/>
    </xf>
    <xf numFmtId="1" fontId="1" fillId="13" borderId="19" xfId="0" applyNumberFormat="1" applyFont="1" applyFill="1" applyBorder="1" applyAlignment="1">
      <alignment horizontal="center" vertical="center"/>
    </xf>
    <xf numFmtId="1" fontId="1" fillId="13" borderId="23" xfId="15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1" fillId="13" borderId="25" xfId="15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180" fontId="1" fillId="13" borderId="18" xfId="15" applyNumberFormat="1" applyFont="1" applyFill="1" applyBorder="1" applyAlignment="1">
      <alignment horizontal="center" vertical="center" wrapText="1"/>
    </xf>
    <xf numFmtId="180" fontId="1" fillId="13" borderId="27" xfId="15" applyNumberFormat="1" applyFont="1" applyFill="1" applyBorder="1" applyAlignment="1">
      <alignment horizontal="center" vertical="center" wrapText="1"/>
    </xf>
    <xf numFmtId="180" fontId="1" fillId="13" borderId="19" xfId="15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_Конс. фингруппа (на 01.07.2005)" xfId="17"/>
    <cellStyle name="Currency" xfId="18"/>
    <cellStyle name="Currency [0]" xfId="19"/>
    <cellStyle name="Followed Hyperlink" xfId="20"/>
    <cellStyle name="Hyperlink" xfId="21"/>
    <cellStyle name="Normal_Конс. фингруппа (на 01.07.2005)" xfId="22"/>
    <cellStyle name="Percent" xfId="23"/>
    <cellStyle name="Финансовый_Раб.табл.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07"/>
  <sheetViews>
    <sheetView tabSelected="1" workbookViewId="0" topLeftCell="B1">
      <selection activeCell="C298" sqref="C298:C299"/>
    </sheetView>
  </sheetViews>
  <sheetFormatPr defaultColWidth="9.00390625" defaultRowHeight="28.5" customHeight="1"/>
  <cols>
    <col min="1" max="1" width="5.375" style="137" hidden="1" customWidth="1"/>
    <col min="2" max="2" width="66.25390625" style="137" customWidth="1"/>
    <col min="3" max="3" width="15.375" style="98" customWidth="1"/>
    <col min="4" max="4" width="13.00390625" style="98" hidden="1" customWidth="1"/>
    <col min="5" max="5" width="17.00390625" style="98" hidden="1" customWidth="1"/>
    <col min="6" max="6" width="12.00390625" style="98" hidden="1" customWidth="1"/>
    <col min="7" max="7" width="20.625" style="98" hidden="1" customWidth="1"/>
    <col min="8" max="8" width="17.75390625" style="98" hidden="1" customWidth="1"/>
    <col min="9" max="9" width="13.00390625" style="98" hidden="1" customWidth="1"/>
    <col min="10" max="10" width="12.125" style="98" hidden="1" customWidth="1"/>
    <col min="11" max="11" width="12.875" style="98" hidden="1" customWidth="1"/>
    <col min="12" max="12" width="13.625" style="98" hidden="1" customWidth="1"/>
    <col min="13" max="14" width="12.875" style="137" hidden="1" customWidth="1"/>
    <col min="15" max="24" width="12.875" style="138" hidden="1" customWidth="1"/>
    <col min="25" max="26" width="12.875" style="139" hidden="1" customWidth="1"/>
    <col min="27" max="28" width="12.875" style="138" hidden="1" customWidth="1"/>
    <col min="29" max="30" width="12.875" style="137" hidden="1" customWidth="1"/>
    <col min="31" max="31" width="16.00390625" style="137" hidden="1" customWidth="1"/>
    <col min="32" max="32" width="18.125" style="137" hidden="1" customWidth="1"/>
    <col min="33" max="48" width="12.875" style="137" hidden="1" customWidth="1"/>
    <col min="49" max="49" width="5.00390625" style="137" hidden="1" customWidth="1"/>
    <col min="50" max="50" width="13.375" style="137" hidden="1" customWidth="1"/>
    <col min="51" max="51" width="15.875" style="137" hidden="1" customWidth="1"/>
    <col min="52" max="52" width="15.25390625" style="137" hidden="1" customWidth="1"/>
    <col min="53" max="59" width="12.875" style="137" hidden="1" customWidth="1"/>
    <col min="60" max="16384" width="12.875" style="137" customWidth="1"/>
  </cols>
  <sheetData>
    <row r="1" spans="2:28" s="135" customFormat="1" ht="28.5" customHeight="1">
      <c r="B1" s="135" t="s">
        <v>520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2:13" ht="28.5" customHeight="1">
      <c r="B2" s="135" t="s">
        <v>452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35"/>
    </row>
    <row r="3" spans="3:60" ht="22.5" customHeight="1" thickBot="1">
      <c r="C3" s="97"/>
      <c r="D3" s="97"/>
      <c r="E3" s="97"/>
      <c r="F3" s="97"/>
      <c r="G3" s="97"/>
      <c r="H3" s="97"/>
      <c r="I3" s="97"/>
      <c r="J3" s="97"/>
      <c r="K3" s="97"/>
      <c r="L3" s="97"/>
      <c r="BH3" s="161" t="s">
        <v>445</v>
      </c>
    </row>
    <row r="4" spans="1:60" ht="18.75" customHeight="1">
      <c r="A4" s="386" t="s">
        <v>72</v>
      </c>
      <c r="B4" s="388" t="s">
        <v>73</v>
      </c>
      <c r="C4" s="391" t="s">
        <v>451</v>
      </c>
      <c r="D4" s="390" t="s">
        <v>70</v>
      </c>
      <c r="E4" s="390"/>
      <c r="F4" s="390"/>
      <c r="G4" s="390"/>
      <c r="H4" s="106" t="s">
        <v>293</v>
      </c>
      <c r="I4" s="383" t="s">
        <v>521</v>
      </c>
      <c r="J4" s="383"/>
      <c r="K4" s="384" t="s">
        <v>294</v>
      </c>
      <c r="L4" s="384"/>
      <c r="M4" s="385" t="s">
        <v>69</v>
      </c>
      <c r="N4" s="385"/>
      <c r="O4" s="384" t="s">
        <v>295</v>
      </c>
      <c r="P4" s="384"/>
      <c r="Q4" s="383" t="s">
        <v>522</v>
      </c>
      <c r="R4" s="383"/>
      <c r="S4" s="377" t="s">
        <v>481</v>
      </c>
      <c r="T4" s="377"/>
      <c r="U4" s="383" t="s">
        <v>358</v>
      </c>
      <c r="V4" s="383"/>
      <c r="W4" s="377" t="s">
        <v>359</v>
      </c>
      <c r="X4" s="377"/>
      <c r="Y4" s="383" t="s">
        <v>525</v>
      </c>
      <c r="Z4" s="383"/>
      <c r="AA4" s="377" t="s">
        <v>7</v>
      </c>
      <c r="AB4" s="377"/>
      <c r="AC4" s="378" t="s">
        <v>71</v>
      </c>
      <c r="AD4" s="378"/>
      <c r="AE4" s="379" t="s">
        <v>8</v>
      </c>
      <c r="AF4" s="381" t="s">
        <v>56</v>
      </c>
      <c r="BH4" s="376" t="s">
        <v>446</v>
      </c>
    </row>
    <row r="5" spans="1:60" ht="18" customHeight="1" thickBot="1">
      <c r="A5" s="387"/>
      <c r="B5" s="389"/>
      <c r="C5" s="392"/>
      <c r="D5" s="140" t="s">
        <v>75</v>
      </c>
      <c r="E5" s="141"/>
      <c r="F5" s="140" t="s">
        <v>76</v>
      </c>
      <c r="G5" s="141"/>
      <c r="H5" s="107" t="s">
        <v>74</v>
      </c>
      <c r="I5" s="142" t="s">
        <v>75</v>
      </c>
      <c r="J5" s="143" t="s">
        <v>76</v>
      </c>
      <c r="K5" s="144" t="s">
        <v>75</v>
      </c>
      <c r="L5" s="144" t="s">
        <v>76</v>
      </c>
      <c r="M5" s="107" t="s">
        <v>75</v>
      </c>
      <c r="N5" s="145" t="s">
        <v>76</v>
      </c>
      <c r="O5" s="144" t="s">
        <v>75</v>
      </c>
      <c r="P5" s="144" t="s">
        <v>76</v>
      </c>
      <c r="Q5" s="142" t="s">
        <v>75</v>
      </c>
      <c r="R5" s="143" t="s">
        <v>76</v>
      </c>
      <c r="S5" s="144" t="s">
        <v>75</v>
      </c>
      <c r="T5" s="146" t="s">
        <v>76</v>
      </c>
      <c r="U5" s="142" t="s">
        <v>75</v>
      </c>
      <c r="V5" s="143" t="s">
        <v>76</v>
      </c>
      <c r="W5" s="144" t="s">
        <v>75</v>
      </c>
      <c r="X5" s="146" t="s">
        <v>76</v>
      </c>
      <c r="Y5" s="142" t="s">
        <v>75</v>
      </c>
      <c r="Z5" s="147" t="s">
        <v>76</v>
      </c>
      <c r="AA5" s="144" t="s">
        <v>75</v>
      </c>
      <c r="AB5" s="146" t="s">
        <v>76</v>
      </c>
      <c r="AC5" s="140" t="s">
        <v>75</v>
      </c>
      <c r="AD5" s="107" t="s">
        <v>76</v>
      </c>
      <c r="AE5" s="380"/>
      <c r="AF5" s="382"/>
      <c r="BH5" s="376"/>
    </row>
    <row r="6" spans="1:60" ht="21" customHeight="1">
      <c r="A6" s="99"/>
      <c r="B6" s="125" t="s">
        <v>77</v>
      </c>
      <c r="C6" s="126">
        <f>211356242</f>
        <v>211356242</v>
      </c>
      <c r="D6" s="100">
        <f>SUM(D7:D33)</f>
        <v>0</v>
      </c>
      <c r="E6" s="101"/>
      <c r="F6" s="100">
        <f>SUM(F7:F33)</f>
        <v>0</v>
      </c>
      <c r="G6" s="101"/>
      <c r="H6" s="100">
        <f>SUM(H7:H33)</f>
        <v>156243717</v>
      </c>
      <c r="I6" s="102">
        <f>SUM(I7:I33)</f>
        <v>1605284</v>
      </c>
      <c r="J6" s="102"/>
      <c r="K6" s="103">
        <f aca="true" t="shared" si="0" ref="K6:AB6">SUM(K7:K33)</f>
        <v>0</v>
      </c>
      <c r="L6" s="103">
        <f t="shared" si="0"/>
        <v>286307</v>
      </c>
      <c r="M6" s="103">
        <f t="shared" si="0"/>
        <v>158332</v>
      </c>
      <c r="N6" s="103">
        <f t="shared" si="0"/>
        <v>0</v>
      </c>
      <c r="O6" s="103">
        <f t="shared" si="0"/>
        <v>0</v>
      </c>
      <c r="P6" s="103">
        <f t="shared" si="0"/>
        <v>125789</v>
      </c>
      <c r="Q6" s="103">
        <f t="shared" si="0"/>
        <v>819974</v>
      </c>
      <c r="R6" s="103">
        <f t="shared" si="0"/>
        <v>0</v>
      </c>
      <c r="S6" s="103">
        <f t="shared" si="0"/>
        <v>0</v>
      </c>
      <c r="T6" s="103">
        <f t="shared" si="0"/>
        <v>644453</v>
      </c>
      <c r="U6" s="103">
        <f t="shared" si="0"/>
        <v>12197</v>
      </c>
      <c r="V6" s="103">
        <f t="shared" si="0"/>
        <v>0</v>
      </c>
      <c r="W6" s="103">
        <f t="shared" si="0"/>
        <v>0</v>
      </c>
      <c r="X6" s="103">
        <f t="shared" si="0"/>
        <v>0</v>
      </c>
      <c r="Y6" s="104">
        <f t="shared" si="0"/>
        <v>54184</v>
      </c>
      <c r="Z6" s="104">
        <f t="shared" si="0"/>
        <v>0</v>
      </c>
      <c r="AA6" s="103">
        <f t="shared" si="0"/>
        <v>0</v>
      </c>
      <c r="AB6" s="103">
        <f t="shared" si="0"/>
        <v>0</v>
      </c>
      <c r="AC6" s="100">
        <f>I6+K6+M6+O6+Q6+S6+U6+W6+Y6+AA6</f>
        <v>2649971</v>
      </c>
      <c r="AD6" s="100">
        <f>J6+L6+N6+P6+R6+T6+V6+X6+Z6+AB6</f>
        <v>1056549</v>
      </c>
      <c r="AE6" s="103">
        <f>SUM(AE7:AE33)</f>
        <v>0</v>
      </c>
      <c r="AF6" s="105">
        <f>H6+AC6-AD6</f>
        <v>157837139</v>
      </c>
      <c r="BH6" s="148">
        <v>28688606</v>
      </c>
    </row>
    <row r="7" spans="1:60" ht="53.25" customHeight="1" hidden="1">
      <c r="A7" s="1">
        <v>1001</v>
      </c>
      <c r="B7" s="117" t="s">
        <v>79</v>
      </c>
      <c r="C7" s="118">
        <v>8394348</v>
      </c>
      <c r="D7" s="3"/>
      <c r="E7" s="68"/>
      <c r="F7" s="3"/>
      <c r="G7" s="68"/>
      <c r="H7" s="3">
        <f>C7+D7-F7</f>
        <v>8394348</v>
      </c>
      <c r="I7" s="28">
        <v>546595</v>
      </c>
      <c r="J7" s="28"/>
      <c r="K7" s="15"/>
      <c r="L7" s="15"/>
      <c r="M7" s="46">
        <v>470</v>
      </c>
      <c r="N7" s="47"/>
      <c r="O7" s="15"/>
      <c r="P7" s="15"/>
      <c r="Q7" s="54">
        <v>61802</v>
      </c>
      <c r="R7" s="54"/>
      <c r="S7" s="15"/>
      <c r="T7" s="15"/>
      <c r="U7" s="65"/>
      <c r="V7" s="65"/>
      <c r="W7" s="15"/>
      <c r="X7" s="15"/>
      <c r="Y7" s="77">
        <v>145</v>
      </c>
      <c r="Z7" s="77"/>
      <c r="AA7" s="15"/>
      <c r="AB7" s="15"/>
      <c r="AC7" s="69">
        <f>I7+K7+M7+O7+Q7+S7+U7+W7+Y7+AA7</f>
        <v>609012</v>
      </c>
      <c r="AD7" s="69">
        <f>J7+L7+N7+P7+R7+T7+V7+X7+Z7+AB7</f>
        <v>0</v>
      </c>
      <c r="AE7" s="70"/>
      <c r="AF7" s="70">
        <f aca="true" t="shared" si="1" ref="AF7:AF80">H7+AC7-AD7</f>
        <v>9003360</v>
      </c>
      <c r="BH7" s="148"/>
    </row>
    <row r="8" spans="1:60" ht="28.5" customHeight="1" hidden="1">
      <c r="A8" s="1">
        <v>1002</v>
      </c>
      <c r="B8" s="117" t="s">
        <v>544</v>
      </c>
      <c r="C8" s="118">
        <v>1371202</v>
      </c>
      <c r="D8" s="3"/>
      <c r="E8" s="68"/>
      <c r="F8" s="3"/>
      <c r="G8" s="68"/>
      <c r="H8" s="3">
        <f aca="true" t="shared" si="2" ref="H8:H33">C8+D8-F8</f>
        <v>1371202</v>
      </c>
      <c r="I8" s="28"/>
      <c r="J8" s="28"/>
      <c r="K8" s="15"/>
      <c r="L8" s="15"/>
      <c r="M8" s="46"/>
      <c r="N8" s="47"/>
      <c r="O8" s="15"/>
      <c r="P8" s="15"/>
      <c r="Q8" s="54"/>
      <c r="R8" s="54"/>
      <c r="S8" s="15"/>
      <c r="T8" s="15"/>
      <c r="U8" s="65"/>
      <c r="V8" s="65"/>
      <c r="W8" s="15"/>
      <c r="X8" s="15"/>
      <c r="Y8" s="77"/>
      <c r="Z8" s="77"/>
      <c r="AA8" s="15"/>
      <c r="AB8" s="15"/>
      <c r="AC8" s="69">
        <f aca="true" t="shared" si="3" ref="AC8:AD71">I8+K8+M8+O8+Q8+S8+U8+W8+Y8+AA8</f>
        <v>0</v>
      </c>
      <c r="AD8" s="69">
        <f t="shared" si="3"/>
        <v>0</v>
      </c>
      <c r="AE8" s="70"/>
      <c r="AF8" s="70">
        <f t="shared" si="1"/>
        <v>1371202</v>
      </c>
      <c r="BH8" s="148"/>
    </row>
    <row r="9" spans="1:60" ht="28.5" customHeight="1" hidden="1">
      <c r="A9" s="1">
        <v>1003</v>
      </c>
      <c r="B9" s="117" t="s">
        <v>80</v>
      </c>
      <c r="C9" s="118">
        <v>367898</v>
      </c>
      <c r="D9" s="3"/>
      <c r="E9" s="68"/>
      <c r="F9" s="3"/>
      <c r="G9" s="68"/>
      <c r="H9" s="3">
        <f t="shared" si="2"/>
        <v>367898</v>
      </c>
      <c r="I9" s="28">
        <v>0</v>
      </c>
      <c r="J9" s="28"/>
      <c r="K9" s="15"/>
      <c r="L9" s="15"/>
      <c r="M9" s="46"/>
      <c r="N9" s="47"/>
      <c r="O9" s="15"/>
      <c r="P9" s="15"/>
      <c r="Q9" s="54"/>
      <c r="R9" s="54"/>
      <c r="S9" s="15"/>
      <c r="T9" s="15"/>
      <c r="U9" s="65"/>
      <c r="V9" s="65"/>
      <c r="W9" s="15"/>
      <c r="X9" s="15"/>
      <c r="Y9" s="77"/>
      <c r="Z9" s="77"/>
      <c r="AA9" s="15"/>
      <c r="AB9" s="15"/>
      <c r="AC9" s="69">
        <f t="shared" si="3"/>
        <v>0</v>
      </c>
      <c r="AD9" s="69">
        <f t="shared" si="3"/>
        <v>0</v>
      </c>
      <c r="AE9" s="70"/>
      <c r="AF9" s="70">
        <f t="shared" si="1"/>
        <v>367898</v>
      </c>
      <c r="BH9" s="148"/>
    </row>
    <row r="10" spans="1:60" ht="28.5" customHeight="1" hidden="1">
      <c r="A10" s="1">
        <v>1005</v>
      </c>
      <c r="B10" s="117" t="s">
        <v>81</v>
      </c>
      <c r="C10" s="118">
        <v>440533</v>
      </c>
      <c r="D10" s="3"/>
      <c r="E10" s="68"/>
      <c r="F10" s="3"/>
      <c r="G10" s="68"/>
      <c r="H10" s="3">
        <f t="shared" si="2"/>
        <v>440533</v>
      </c>
      <c r="I10" s="28">
        <v>37108</v>
      </c>
      <c r="J10" s="28"/>
      <c r="K10" s="15"/>
      <c r="L10" s="15"/>
      <c r="M10" s="46"/>
      <c r="N10" s="47"/>
      <c r="O10" s="15"/>
      <c r="P10" s="15"/>
      <c r="Q10" s="54"/>
      <c r="R10" s="54"/>
      <c r="S10" s="15"/>
      <c r="T10" s="15"/>
      <c r="U10" s="65"/>
      <c r="V10" s="65"/>
      <c r="W10" s="15"/>
      <c r="X10" s="15"/>
      <c r="Y10" s="77"/>
      <c r="Z10" s="77"/>
      <c r="AA10" s="15"/>
      <c r="AB10" s="15"/>
      <c r="AC10" s="69">
        <f t="shared" si="3"/>
        <v>37108</v>
      </c>
      <c r="AD10" s="69">
        <f t="shared" si="3"/>
        <v>0</v>
      </c>
      <c r="AE10" s="70"/>
      <c r="AF10" s="70">
        <f t="shared" si="1"/>
        <v>477641</v>
      </c>
      <c r="BH10" s="148"/>
    </row>
    <row r="11" spans="1:60" ht="28.5" customHeight="1" hidden="1">
      <c r="A11" s="14">
        <v>1006</v>
      </c>
      <c r="B11" s="117" t="s">
        <v>569</v>
      </c>
      <c r="C11" s="118"/>
      <c r="D11" s="3"/>
      <c r="E11" s="68"/>
      <c r="F11" s="3"/>
      <c r="G11" s="68"/>
      <c r="H11" s="3">
        <f t="shared" si="2"/>
        <v>0</v>
      </c>
      <c r="I11" s="28"/>
      <c r="J11" s="28"/>
      <c r="K11" s="15"/>
      <c r="L11" s="15"/>
      <c r="M11" s="46"/>
      <c r="N11" s="47"/>
      <c r="O11" s="15"/>
      <c r="P11" s="15"/>
      <c r="Q11" s="54"/>
      <c r="R11" s="54"/>
      <c r="S11" s="15"/>
      <c r="T11" s="15"/>
      <c r="U11" s="65"/>
      <c r="V11" s="65"/>
      <c r="W11" s="15"/>
      <c r="X11" s="15"/>
      <c r="Y11" s="77"/>
      <c r="Z11" s="77"/>
      <c r="AA11" s="15"/>
      <c r="AB11" s="15"/>
      <c r="AC11" s="69">
        <f t="shared" si="3"/>
        <v>0</v>
      </c>
      <c r="AD11" s="69">
        <f t="shared" si="3"/>
        <v>0</v>
      </c>
      <c r="AE11" s="70"/>
      <c r="AF11" s="70">
        <f t="shared" si="1"/>
        <v>0</v>
      </c>
      <c r="BH11" s="148"/>
    </row>
    <row r="12" spans="1:60" ht="28.5" customHeight="1" hidden="1">
      <c r="A12" s="1">
        <v>1007</v>
      </c>
      <c r="B12" s="117" t="s">
        <v>82</v>
      </c>
      <c r="C12" s="118"/>
      <c r="D12" s="3"/>
      <c r="E12" s="68"/>
      <c r="F12" s="3"/>
      <c r="G12" s="68"/>
      <c r="H12" s="3">
        <f t="shared" si="2"/>
        <v>0</v>
      </c>
      <c r="I12" s="28"/>
      <c r="J12" s="28"/>
      <c r="K12" s="15"/>
      <c r="L12" s="15"/>
      <c r="M12" s="46"/>
      <c r="N12" s="47"/>
      <c r="O12" s="15"/>
      <c r="P12" s="15"/>
      <c r="Q12" s="54"/>
      <c r="R12" s="54"/>
      <c r="S12" s="15"/>
      <c r="T12" s="15"/>
      <c r="U12" s="65"/>
      <c r="V12" s="65"/>
      <c r="W12" s="15"/>
      <c r="X12" s="15"/>
      <c r="Y12" s="77"/>
      <c r="Z12" s="77"/>
      <c r="AA12" s="15"/>
      <c r="AB12" s="15"/>
      <c r="AC12" s="69">
        <f t="shared" si="3"/>
        <v>0</v>
      </c>
      <c r="AD12" s="69">
        <f t="shared" si="3"/>
        <v>0</v>
      </c>
      <c r="AE12" s="70"/>
      <c r="AF12" s="70">
        <f t="shared" si="1"/>
        <v>0</v>
      </c>
      <c r="BH12" s="148"/>
    </row>
    <row r="13" spans="1:60" ht="28.5" customHeight="1" hidden="1">
      <c r="A13" s="1">
        <v>1008</v>
      </c>
      <c r="B13" s="117" t="s">
        <v>83</v>
      </c>
      <c r="C13" s="118">
        <v>439737</v>
      </c>
      <c r="D13" s="3"/>
      <c r="E13" s="68"/>
      <c r="F13" s="3"/>
      <c r="G13" s="68"/>
      <c r="H13" s="3">
        <f t="shared" si="2"/>
        <v>439737</v>
      </c>
      <c r="I13" s="28"/>
      <c r="J13" s="28"/>
      <c r="K13" s="15"/>
      <c r="L13" s="15"/>
      <c r="M13" s="46"/>
      <c r="N13" s="47"/>
      <c r="O13" s="15"/>
      <c r="P13" s="15"/>
      <c r="Q13" s="54"/>
      <c r="R13" s="54"/>
      <c r="S13" s="15"/>
      <c r="T13" s="15"/>
      <c r="U13" s="65"/>
      <c r="V13" s="65"/>
      <c r="W13" s="15"/>
      <c r="X13" s="15"/>
      <c r="Y13" s="77"/>
      <c r="Z13" s="77"/>
      <c r="AA13" s="15"/>
      <c r="AB13" s="15"/>
      <c r="AC13" s="69">
        <f t="shared" si="3"/>
        <v>0</v>
      </c>
      <c r="AD13" s="69">
        <f t="shared" si="3"/>
        <v>0</v>
      </c>
      <c r="AE13" s="70"/>
      <c r="AF13" s="70">
        <f t="shared" si="1"/>
        <v>439737</v>
      </c>
      <c r="BH13" s="148"/>
    </row>
    <row r="14" spans="1:60" ht="36.75" customHeight="1" hidden="1">
      <c r="A14" s="14">
        <v>1009</v>
      </c>
      <c r="B14" s="117" t="s">
        <v>570</v>
      </c>
      <c r="C14" s="118"/>
      <c r="D14" s="3"/>
      <c r="E14" s="68"/>
      <c r="F14" s="3"/>
      <c r="G14" s="68"/>
      <c r="H14" s="3">
        <f t="shared" si="2"/>
        <v>0</v>
      </c>
      <c r="I14" s="28"/>
      <c r="J14" s="28"/>
      <c r="K14" s="15"/>
      <c r="L14" s="15"/>
      <c r="M14" s="46"/>
      <c r="N14" s="47"/>
      <c r="O14" s="15"/>
      <c r="P14" s="15"/>
      <c r="Q14" s="54"/>
      <c r="R14" s="54"/>
      <c r="S14" s="15"/>
      <c r="T14" s="15"/>
      <c r="U14" s="65"/>
      <c r="V14" s="65"/>
      <c r="W14" s="15"/>
      <c r="X14" s="15"/>
      <c r="Y14" s="77"/>
      <c r="Z14" s="77"/>
      <c r="AA14" s="15"/>
      <c r="AB14" s="15"/>
      <c r="AC14" s="69">
        <f t="shared" si="3"/>
        <v>0</v>
      </c>
      <c r="AD14" s="69">
        <f t="shared" si="3"/>
        <v>0</v>
      </c>
      <c r="AE14" s="70"/>
      <c r="AF14" s="70">
        <f t="shared" si="1"/>
        <v>0</v>
      </c>
      <c r="BH14" s="148"/>
    </row>
    <row r="15" spans="1:60" ht="37.5" customHeight="1" hidden="1">
      <c r="A15" s="1">
        <v>1051</v>
      </c>
      <c r="B15" s="117" t="s">
        <v>84</v>
      </c>
      <c r="C15" s="118">
        <f>95779461-54134093</f>
        <v>41645368</v>
      </c>
      <c r="D15" s="3"/>
      <c r="E15" s="68"/>
      <c r="F15" s="3"/>
      <c r="G15" s="68"/>
      <c r="H15" s="3">
        <f t="shared" si="2"/>
        <v>41645368</v>
      </c>
      <c r="I15" s="28"/>
      <c r="J15" s="28"/>
      <c r="K15" s="15"/>
      <c r="L15" s="15"/>
      <c r="M15" s="46"/>
      <c r="N15" s="47"/>
      <c r="O15" s="15"/>
      <c r="P15" s="15"/>
      <c r="Q15" s="54"/>
      <c r="R15" s="54"/>
      <c r="S15" s="15"/>
      <c r="T15" s="15"/>
      <c r="U15" s="65"/>
      <c r="V15" s="65"/>
      <c r="W15" s="15"/>
      <c r="X15" s="15"/>
      <c r="Y15" s="77"/>
      <c r="Z15" s="77"/>
      <c r="AA15" s="15"/>
      <c r="AB15" s="15"/>
      <c r="AC15" s="69">
        <f t="shared" si="3"/>
        <v>0</v>
      </c>
      <c r="AD15" s="69">
        <f t="shared" si="3"/>
        <v>0</v>
      </c>
      <c r="AE15" s="70"/>
      <c r="AF15" s="70">
        <f t="shared" si="1"/>
        <v>41645368</v>
      </c>
      <c r="BH15" s="148"/>
    </row>
    <row r="16" spans="1:60" ht="28.5" customHeight="1" hidden="1">
      <c r="A16" s="1">
        <v>1052</v>
      </c>
      <c r="B16" s="117" t="s">
        <v>85</v>
      </c>
      <c r="C16" s="118">
        <v>34557933</v>
      </c>
      <c r="D16" s="70"/>
      <c r="E16" s="68"/>
      <c r="F16" s="3"/>
      <c r="G16" s="68"/>
      <c r="H16" s="3">
        <f t="shared" si="2"/>
        <v>34557933</v>
      </c>
      <c r="I16" s="34">
        <v>1021581</v>
      </c>
      <c r="J16" s="28"/>
      <c r="K16" s="149"/>
      <c r="L16" s="58">
        <f>2220+2669+19661+5605</f>
        <v>30155</v>
      </c>
      <c r="M16" s="48">
        <f>31091+124629+2142</f>
        <v>157862</v>
      </c>
      <c r="N16" s="49"/>
      <c r="O16" s="149"/>
      <c r="P16" s="60">
        <f>502+4544+120743</f>
        <v>125789</v>
      </c>
      <c r="Q16" s="55">
        <v>758172</v>
      </c>
      <c r="R16" s="55"/>
      <c r="S16" s="27"/>
      <c r="T16" s="27">
        <f>385646+1030+19</f>
        <v>386695</v>
      </c>
      <c r="U16" s="71">
        <v>12197</v>
      </c>
      <c r="V16" s="71"/>
      <c r="W16" s="27"/>
      <c r="X16" s="27"/>
      <c r="Y16" s="77">
        <v>54039</v>
      </c>
      <c r="Z16" s="77"/>
      <c r="AA16" s="27"/>
      <c r="AB16" s="27"/>
      <c r="AC16" s="69">
        <f t="shared" si="3"/>
        <v>2003851</v>
      </c>
      <c r="AD16" s="69">
        <f t="shared" si="3"/>
        <v>542639</v>
      </c>
      <c r="AE16" s="70"/>
      <c r="AF16" s="70">
        <f t="shared" si="1"/>
        <v>36019145</v>
      </c>
      <c r="BH16" s="148"/>
    </row>
    <row r="17" spans="1:60" ht="38.25" customHeight="1" hidden="1">
      <c r="A17" s="1">
        <v>1103</v>
      </c>
      <c r="B17" s="117" t="s">
        <v>572</v>
      </c>
      <c r="C17" s="118">
        <v>40000000</v>
      </c>
      <c r="D17" s="3"/>
      <c r="E17" s="68"/>
      <c r="F17" s="3"/>
      <c r="G17" s="68"/>
      <c r="H17" s="3">
        <f>C17+D17-F17</f>
        <v>40000000</v>
      </c>
      <c r="I17" s="28"/>
      <c r="J17" s="28"/>
      <c r="K17" s="15"/>
      <c r="L17" s="15"/>
      <c r="M17" s="46"/>
      <c r="N17" s="47"/>
      <c r="O17" s="15"/>
      <c r="P17" s="15"/>
      <c r="Q17" s="54"/>
      <c r="R17" s="54"/>
      <c r="S17" s="15"/>
      <c r="T17" s="15"/>
      <c r="U17" s="65"/>
      <c r="V17" s="65"/>
      <c r="W17" s="15"/>
      <c r="X17" s="15"/>
      <c r="Y17" s="77"/>
      <c r="Z17" s="77"/>
      <c r="AA17" s="15"/>
      <c r="AB17" s="15"/>
      <c r="AC17" s="69">
        <f t="shared" si="3"/>
        <v>0</v>
      </c>
      <c r="AD17" s="69">
        <f t="shared" si="3"/>
        <v>0</v>
      </c>
      <c r="AE17" s="70"/>
      <c r="AF17" s="70">
        <f t="shared" si="1"/>
        <v>40000000</v>
      </c>
      <c r="BH17" s="148"/>
    </row>
    <row r="18" spans="1:60" ht="34.5" customHeight="1" hidden="1">
      <c r="A18" s="14">
        <v>1105</v>
      </c>
      <c r="B18" s="117" t="s">
        <v>573</v>
      </c>
      <c r="C18" s="118"/>
      <c r="D18" s="3"/>
      <c r="E18" s="68"/>
      <c r="F18" s="3"/>
      <c r="G18" s="68"/>
      <c r="H18" s="3">
        <f t="shared" si="2"/>
        <v>0</v>
      </c>
      <c r="I18" s="28"/>
      <c r="J18" s="28"/>
      <c r="K18" s="15"/>
      <c r="L18" s="15"/>
      <c r="M18" s="46"/>
      <c r="N18" s="47"/>
      <c r="O18" s="15"/>
      <c r="P18" s="15"/>
      <c r="Q18" s="54"/>
      <c r="R18" s="54"/>
      <c r="S18" s="15"/>
      <c r="T18" s="15"/>
      <c r="U18" s="65"/>
      <c r="V18" s="65"/>
      <c r="W18" s="15"/>
      <c r="X18" s="15"/>
      <c r="Y18" s="77"/>
      <c r="Z18" s="77"/>
      <c r="AA18" s="15"/>
      <c r="AB18" s="15"/>
      <c r="AC18" s="69">
        <f t="shared" si="3"/>
        <v>0</v>
      </c>
      <c r="AD18" s="69">
        <f t="shared" si="3"/>
        <v>0</v>
      </c>
      <c r="AE18" s="70"/>
      <c r="AF18" s="70">
        <f t="shared" si="1"/>
        <v>0</v>
      </c>
      <c r="BH18" s="148"/>
    </row>
    <row r="19" spans="1:60" ht="33" customHeight="1" hidden="1">
      <c r="A19" s="14">
        <v>1106</v>
      </c>
      <c r="B19" s="117" t="s">
        <v>574</v>
      </c>
      <c r="C19" s="118"/>
      <c r="D19" s="3"/>
      <c r="E19" s="68"/>
      <c r="F19" s="3"/>
      <c r="G19" s="68"/>
      <c r="H19" s="3">
        <f t="shared" si="2"/>
        <v>0</v>
      </c>
      <c r="I19" s="28"/>
      <c r="J19" s="28"/>
      <c r="K19" s="15"/>
      <c r="L19" s="15"/>
      <c r="M19" s="46"/>
      <c r="N19" s="47"/>
      <c r="O19" s="15"/>
      <c r="P19" s="15"/>
      <c r="Q19" s="54"/>
      <c r="R19" s="54"/>
      <c r="S19" s="15"/>
      <c r="T19" s="15"/>
      <c r="U19" s="65"/>
      <c r="V19" s="65"/>
      <c r="W19" s="15"/>
      <c r="X19" s="15"/>
      <c r="Y19" s="77"/>
      <c r="Z19" s="77"/>
      <c r="AA19" s="15"/>
      <c r="AB19" s="15"/>
      <c r="AC19" s="69">
        <f t="shared" si="3"/>
        <v>0</v>
      </c>
      <c r="AD19" s="69">
        <f t="shared" si="3"/>
        <v>0</v>
      </c>
      <c r="AE19" s="70"/>
      <c r="AF19" s="70">
        <f t="shared" si="1"/>
        <v>0</v>
      </c>
      <c r="BH19" s="148"/>
    </row>
    <row r="20" spans="1:60" ht="33" customHeight="1" hidden="1">
      <c r="A20" s="14">
        <v>1150</v>
      </c>
      <c r="B20" s="117" t="s">
        <v>380</v>
      </c>
      <c r="C20" s="118"/>
      <c r="D20" s="3"/>
      <c r="E20" s="68"/>
      <c r="F20" s="3"/>
      <c r="G20" s="68"/>
      <c r="H20" s="3">
        <f t="shared" si="2"/>
        <v>0</v>
      </c>
      <c r="I20" s="28"/>
      <c r="J20" s="28"/>
      <c r="K20" s="15"/>
      <c r="L20" s="15"/>
      <c r="M20" s="46"/>
      <c r="N20" s="47"/>
      <c r="O20" s="15"/>
      <c r="P20" s="15"/>
      <c r="Q20" s="54"/>
      <c r="R20" s="54"/>
      <c r="S20" s="15"/>
      <c r="T20" s="15"/>
      <c r="U20" s="65"/>
      <c r="V20" s="65"/>
      <c r="W20" s="15"/>
      <c r="X20" s="15"/>
      <c r="Y20" s="77"/>
      <c r="Z20" s="77"/>
      <c r="AA20" s="15"/>
      <c r="AB20" s="15"/>
      <c r="AC20" s="69">
        <f t="shared" si="3"/>
        <v>0</v>
      </c>
      <c r="AD20" s="69">
        <f t="shared" si="3"/>
        <v>0</v>
      </c>
      <c r="AE20" s="70"/>
      <c r="AF20" s="70">
        <f t="shared" si="1"/>
        <v>0</v>
      </c>
      <c r="BH20" s="148"/>
    </row>
    <row r="21" spans="1:60" ht="28.5" customHeight="1" hidden="1">
      <c r="A21" s="1">
        <v>1251</v>
      </c>
      <c r="B21" s="117" t="s">
        <v>545</v>
      </c>
      <c r="C21" s="118"/>
      <c r="D21" s="3"/>
      <c r="E21" s="68"/>
      <c r="F21" s="3"/>
      <c r="G21" s="68"/>
      <c r="H21" s="3">
        <f t="shared" si="2"/>
        <v>0</v>
      </c>
      <c r="I21" s="28"/>
      <c r="J21" s="28"/>
      <c r="K21" s="15"/>
      <c r="L21" s="15"/>
      <c r="M21" s="46"/>
      <c r="N21" s="47"/>
      <c r="O21" s="15"/>
      <c r="P21" s="15"/>
      <c r="Q21" s="54"/>
      <c r="R21" s="54"/>
      <c r="S21" s="15"/>
      <c r="T21" s="15"/>
      <c r="U21" s="65"/>
      <c r="V21" s="65"/>
      <c r="W21" s="15"/>
      <c r="X21" s="15"/>
      <c r="Y21" s="77"/>
      <c r="Z21" s="77"/>
      <c r="AA21" s="15"/>
      <c r="AB21" s="15"/>
      <c r="AC21" s="69">
        <f t="shared" si="3"/>
        <v>0</v>
      </c>
      <c r="AD21" s="69">
        <f t="shared" si="3"/>
        <v>0</v>
      </c>
      <c r="AE21" s="70"/>
      <c r="AF21" s="70">
        <f t="shared" si="1"/>
        <v>0</v>
      </c>
      <c r="BH21" s="148"/>
    </row>
    <row r="22" spans="1:60" ht="36" customHeight="1" hidden="1">
      <c r="A22" s="1">
        <v>1253</v>
      </c>
      <c r="B22" s="117" t="s">
        <v>87</v>
      </c>
      <c r="C22" s="118">
        <v>6350000</v>
      </c>
      <c r="D22" s="3"/>
      <c r="E22" s="68"/>
      <c r="F22" s="3"/>
      <c r="G22" s="68"/>
      <c r="H22" s="3">
        <f t="shared" si="2"/>
        <v>6350000</v>
      </c>
      <c r="I22" s="28"/>
      <c r="J22" s="28"/>
      <c r="K22" s="15"/>
      <c r="L22" s="15"/>
      <c r="M22" s="46"/>
      <c r="N22" s="47"/>
      <c r="O22" s="15"/>
      <c r="P22" s="15"/>
      <c r="Q22" s="54"/>
      <c r="R22" s="54"/>
      <c r="S22" s="15"/>
      <c r="T22" s="15"/>
      <c r="U22" s="65"/>
      <c r="V22" s="65"/>
      <c r="W22" s="15"/>
      <c r="X22" s="15"/>
      <c r="Y22" s="77"/>
      <c r="Z22" s="77"/>
      <c r="AA22" s="15"/>
      <c r="AB22" s="15"/>
      <c r="AC22" s="69">
        <f t="shared" si="3"/>
        <v>0</v>
      </c>
      <c r="AD22" s="69">
        <f t="shared" si="3"/>
        <v>0</v>
      </c>
      <c r="AE22" s="70"/>
      <c r="AF22" s="70">
        <f t="shared" si="1"/>
        <v>6350000</v>
      </c>
      <c r="BH22" s="148"/>
    </row>
    <row r="23" spans="1:60" ht="43.5" customHeight="1" hidden="1">
      <c r="A23" s="1">
        <v>1254</v>
      </c>
      <c r="B23" s="117" t="s">
        <v>575</v>
      </c>
      <c r="C23" s="118">
        <f>127000+254000+127000</f>
        <v>508000</v>
      </c>
      <c r="D23" s="3"/>
      <c r="E23" s="68"/>
      <c r="F23" s="3"/>
      <c r="G23" s="68"/>
      <c r="H23" s="3">
        <f t="shared" si="2"/>
        <v>508000</v>
      </c>
      <c r="I23" s="28"/>
      <c r="J23" s="28"/>
      <c r="K23" s="15"/>
      <c r="L23" s="15">
        <f>127000+127000</f>
        <v>254000</v>
      </c>
      <c r="M23" s="50"/>
      <c r="N23" s="47"/>
      <c r="O23" s="15"/>
      <c r="P23" s="15"/>
      <c r="Q23" s="54"/>
      <c r="R23" s="54"/>
      <c r="S23" s="15"/>
      <c r="T23" s="15">
        <v>254000</v>
      </c>
      <c r="U23" s="65"/>
      <c r="V23" s="65"/>
      <c r="W23" s="15"/>
      <c r="X23" s="15"/>
      <c r="Y23" s="77"/>
      <c r="Z23" s="77"/>
      <c r="AA23" s="15"/>
      <c r="AB23" s="15"/>
      <c r="AC23" s="69">
        <f t="shared" si="3"/>
        <v>0</v>
      </c>
      <c r="AD23" s="69">
        <f t="shared" si="3"/>
        <v>508000</v>
      </c>
      <c r="AE23" s="70"/>
      <c r="AF23" s="70">
        <f t="shared" si="1"/>
        <v>0</v>
      </c>
      <c r="BH23" s="148"/>
    </row>
    <row r="24" spans="1:60" ht="50.25" customHeight="1" hidden="1">
      <c r="A24" s="1">
        <v>1264</v>
      </c>
      <c r="B24" s="117" t="s">
        <v>559</v>
      </c>
      <c r="C24" s="118"/>
      <c r="D24" s="3"/>
      <c r="E24" s="68"/>
      <c r="F24" s="3"/>
      <c r="G24" s="68"/>
      <c r="H24" s="3">
        <f t="shared" si="2"/>
        <v>0</v>
      </c>
      <c r="I24" s="28"/>
      <c r="J24" s="28"/>
      <c r="K24" s="15"/>
      <c r="L24" s="15"/>
      <c r="M24" s="50"/>
      <c r="N24" s="47"/>
      <c r="O24" s="15"/>
      <c r="P24" s="15"/>
      <c r="Q24" s="54"/>
      <c r="R24" s="54"/>
      <c r="S24" s="15"/>
      <c r="T24" s="15"/>
      <c r="U24" s="65"/>
      <c r="V24" s="65"/>
      <c r="W24" s="15"/>
      <c r="X24" s="15"/>
      <c r="Y24" s="77"/>
      <c r="Z24" s="77"/>
      <c r="AA24" s="15"/>
      <c r="AB24" s="15"/>
      <c r="AC24" s="69">
        <f t="shared" si="3"/>
        <v>0</v>
      </c>
      <c r="AD24" s="69">
        <f t="shared" si="3"/>
        <v>0</v>
      </c>
      <c r="AE24" s="70"/>
      <c r="AF24" s="70">
        <f t="shared" si="1"/>
        <v>0</v>
      </c>
      <c r="BH24" s="148"/>
    </row>
    <row r="25" spans="1:60" ht="39" customHeight="1" hidden="1">
      <c r="A25" s="14">
        <v>1265</v>
      </c>
      <c r="B25" s="117" t="s">
        <v>576</v>
      </c>
      <c r="C25" s="118"/>
      <c r="D25" s="3"/>
      <c r="E25" s="68"/>
      <c r="F25" s="3"/>
      <c r="G25" s="68"/>
      <c r="H25" s="3">
        <f t="shared" si="2"/>
        <v>0</v>
      </c>
      <c r="I25" s="28"/>
      <c r="J25" s="28"/>
      <c r="K25" s="15"/>
      <c r="L25" s="15"/>
      <c r="M25" s="150"/>
      <c r="N25" s="47"/>
      <c r="O25" s="15"/>
      <c r="P25" s="15"/>
      <c r="Q25" s="54"/>
      <c r="R25" s="54"/>
      <c r="S25" s="15"/>
      <c r="T25" s="15"/>
      <c r="U25" s="65"/>
      <c r="V25" s="65"/>
      <c r="W25" s="15"/>
      <c r="X25" s="15"/>
      <c r="Y25" s="77"/>
      <c r="Z25" s="77"/>
      <c r="AA25" s="15"/>
      <c r="AB25" s="15"/>
      <c r="AC25" s="69">
        <f t="shared" si="3"/>
        <v>0</v>
      </c>
      <c r="AD25" s="69">
        <f t="shared" si="3"/>
        <v>0</v>
      </c>
      <c r="AE25" s="70"/>
      <c r="AF25" s="70">
        <f t="shared" si="1"/>
        <v>0</v>
      </c>
      <c r="BH25" s="148"/>
    </row>
    <row r="26" spans="1:60" ht="40.5" customHeight="1" hidden="1">
      <c r="A26" s="14">
        <v>1266</v>
      </c>
      <c r="B26" s="117" t="s">
        <v>577</v>
      </c>
      <c r="C26" s="118"/>
      <c r="D26" s="3"/>
      <c r="E26" s="68"/>
      <c r="F26" s="3"/>
      <c r="G26" s="68"/>
      <c r="H26" s="3">
        <f t="shared" si="2"/>
        <v>0</v>
      </c>
      <c r="I26" s="28"/>
      <c r="J26" s="28"/>
      <c r="K26" s="15"/>
      <c r="L26" s="15"/>
      <c r="M26" s="46"/>
      <c r="N26" s="47"/>
      <c r="O26" s="15"/>
      <c r="P26" s="15"/>
      <c r="Q26" s="54"/>
      <c r="R26" s="54"/>
      <c r="S26" s="15"/>
      <c r="T26" s="15"/>
      <c r="U26" s="65"/>
      <c r="V26" s="65"/>
      <c r="W26" s="15"/>
      <c r="X26" s="15"/>
      <c r="Y26" s="77"/>
      <c r="Z26" s="77"/>
      <c r="AA26" s="15"/>
      <c r="AB26" s="15"/>
      <c r="AC26" s="69">
        <f t="shared" si="3"/>
        <v>0</v>
      </c>
      <c r="AD26" s="69">
        <f t="shared" si="3"/>
        <v>0</v>
      </c>
      <c r="AE26" s="70"/>
      <c r="AF26" s="70">
        <f t="shared" si="1"/>
        <v>0</v>
      </c>
      <c r="BH26" s="148"/>
    </row>
    <row r="27" spans="1:60" ht="70.5" customHeight="1" hidden="1">
      <c r="A27" s="14">
        <v>1267</v>
      </c>
      <c r="B27" s="117" t="s">
        <v>578</v>
      </c>
      <c r="C27" s="118"/>
      <c r="D27" s="3"/>
      <c r="E27" s="68"/>
      <c r="F27" s="3"/>
      <c r="G27" s="68"/>
      <c r="H27" s="3">
        <f t="shared" si="2"/>
        <v>0</v>
      </c>
      <c r="I27" s="28"/>
      <c r="J27" s="28"/>
      <c r="K27" s="15"/>
      <c r="L27" s="15"/>
      <c r="M27" s="46"/>
      <c r="N27" s="47"/>
      <c r="O27" s="15"/>
      <c r="P27" s="15"/>
      <c r="Q27" s="54"/>
      <c r="R27" s="54"/>
      <c r="S27" s="15"/>
      <c r="T27" s="15"/>
      <c r="U27" s="65"/>
      <c r="V27" s="65"/>
      <c r="W27" s="15"/>
      <c r="X27" s="15"/>
      <c r="Y27" s="77"/>
      <c r="Z27" s="77"/>
      <c r="AA27" s="15"/>
      <c r="AB27" s="15"/>
      <c r="AC27" s="69">
        <f t="shared" si="3"/>
        <v>0</v>
      </c>
      <c r="AD27" s="69">
        <f t="shared" si="3"/>
        <v>0</v>
      </c>
      <c r="AE27" s="70"/>
      <c r="AF27" s="70">
        <f t="shared" si="1"/>
        <v>0</v>
      </c>
      <c r="BH27" s="148"/>
    </row>
    <row r="28" spans="1:60" ht="70.5" customHeight="1" hidden="1">
      <c r="A28" s="1">
        <v>1458</v>
      </c>
      <c r="B28" s="117" t="s">
        <v>164</v>
      </c>
      <c r="C28" s="118">
        <v>22147327</v>
      </c>
      <c r="D28" s="3"/>
      <c r="E28" s="68"/>
      <c r="F28" s="3"/>
      <c r="G28" s="68"/>
      <c r="H28" s="3">
        <f t="shared" si="2"/>
        <v>22147327</v>
      </c>
      <c r="I28" s="28"/>
      <c r="J28" s="28"/>
      <c r="K28" s="15"/>
      <c r="L28" s="15"/>
      <c r="M28" s="46"/>
      <c r="N28" s="47"/>
      <c r="O28" s="15"/>
      <c r="P28" s="15"/>
      <c r="Q28" s="54"/>
      <c r="R28" s="54"/>
      <c r="S28" s="15"/>
      <c r="T28" s="15"/>
      <c r="U28" s="65"/>
      <c r="V28" s="65"/>
      <c r="W28" s="15"/>
      <c r="X28" s="15"/>
      <c r="Y28" s="77"/>
      <c r="Z28" s="77"/>
      <c r="AA28" s="15"/>
      <c r="AB28" s="15"/>
      <c r="AC28" s="69">
        <f t="shared" si="3"/>
        <v>0</v>
      </c>
      <c r="AD28" s="69">
        <f t="shared" si="3"/>
        <v>0</v>
      </c>
      <c r="AE28" s="70"/>
      <c r="AF28" s="70">
        <f t="shared" si="1"/>
        <v>22147327</v>
      </c>
      <c r="BH28" s="148"/>
    </row>
    <row r="29" spans="1:60" ht="33.75" customHeight="1" hidden="1">
      <c r="A29" s="1">
        <v>1705</v>
      </c>
      <c r="B29" s="117" t="s">
        <v>91</v>
      </c>
      <c r="C29" s="118">
        <v>425</v>
      </c>
      <c r="D29" s="3"/>
      <c r="E29" s="68"/>
      <c r="F29" s="3"/>
      <c r="G29" s="68"/>
      <c r="H29" s="3">
        <f t="shared" si="2"/>
        <v>425</v>
      </c>
      <c r="I29" s="28"/>
      <c r="J29" s="28"/>
      <c r="K29" s="15"/>
      <c r="L29" s="15"/>
      <c r="M29" s="46"/>
      <c r="N29" s="47"/>
      <c r="O29" s="15"/>
      <c r="P29" s="15"/>
      <c r="Q29" s="54"/>
      <c r="R29" s="54"/>
      <c r="S29" s="15"/>
      <c r="T29" s="15"/>
      <c r="U29" s="65"/>
      <c r="V29" s="65"/>
      <c r="W29" s="15"/>
      <c r="X29" s="15"/>
      <c r="Y29" s="77"/>
      <c r="Z29" s="77"/>
      <c r="AA29" s="15"/>
      <c r="AB29" s="15"/>
      <c r="AC29" s="69">
        <f t="shared" si="3"/>
        <v>0</v>
      </c>
      <c r="AD29" s="69">
        <f t="shared" si="3"/>
        <v>0</v>
      </c>
      <c r="AE29" s="70"/>
      <c r="AF29" s="70">
        <f t="shared" si="1"/>
        <v>425</v>
      </c>
      <c r="BH29" s="148"/>
    </row>
    <row r="30" spans="1:60" ht="37.5" customHeight="1" hidden="1">
      <c r="A30" s="1">
        <v>1710</v>
      </c>
      <c r="B30" s="117" t="s">
        <v>92</v>
      </c>
      <c r="C30" s="118">
        <v>10000</v>
      </c>
      <c r="D30" s="3"/>
      <c r="E30" s="68"/>
      <c r="F30" s="3"/>
      <c r="G30" s="68"/>
      <c r="H30" s="3">
        <f t="shared" si="2"/>
        <v>10000</v>
      </c>
      <c r="I30" s="28"/>
      <c r="J30" s="28"/>
      <c r="K30" s="15"/>
      <c r="L30" s="15"/>
      <c r="M30" s="46"/>
      <c r="N30" s="47"/>
      <c r="O30" s="15"/>
      <c r="P30" s="15"/>
      <c r="Q30" s="54"/>
      <c r="R30" s="54"/>
      <c r="S30" s="15"/>
      <c r="T30" s="15"/>
      <c r="U30" s="65"/>
      <c r="V30" s="65"/>
      <c r="W30" s="15"/>
      <c r="X30" s="15"/>
      <c r="Y30" s="77"/>
      <c r="Z30" s="77"/>
      <c r="AA30" s="15"/>
      <c r="AB30" s="15"/>
      <c r="AC30" s="69">
        <f t="shared" si="3"/>
        <v>0</v>
      </c>
      <c r="AD30" s="69">
        <f t="shared" si="3"/>
        <v>0</v>
      </c>
      <c r="AE30" s="70"/>
      <c r="AF30" s="70">
        <f t="shared" si="1"/>
        <v>10000</v>
      </c>
      <c r="BH30" s="148"/>
    </row>
    <row r="31" spans="1:60" ht="37.5" customHeight="1" hidden="1">
      <c r="A31" s="1">
        <v>1748</v>
      </c>
      <c r="B31" s="117" t="s">
        <v>288</v>
      </c>
      <c r="C31" s="118">
        <v>3187</v>
      </c>
      <c r="D31" s="3"/>
      <c r="E31" s="68"/>
      <c r="F31" s="3"/>
      <c r="G31" s="68"/>
      <c r="H31" s="3">
        <f t="shared" si="2"/>
        <v>3187</v>
      </c>
      <c r="I31" s="28"/>
      <c r="J31" s="28"/>
      <c r="K31" s="15"/>
      <c r="L31" s="15"/>
      <c r="M31" s="46"/>
      <c r="N31" s="47"/>
      <c r="O31" s="15"/>
      <c r="P31" s="15"/>
      <c r="Q31" s="54"/>
      <c r="R31" s="54"/>
      <c r="S31" s="15"/>
      <c r="T31" s="15"/>
      <c r="U31" s="65"/>
      <c r="V31" s="65"/>
      <c r="W31" s="15"/>
      <c r="X31" s="15"/>
      <c r="Y31" s="77"/>
      <c r="Z31" s="77"/>
      <c r="AA31" s="15"/>
      <c r="AB31" s="15"/>
      <c r="AC31" s="69">
        <f t="shared" si="3"/>
        <v>0</v>
      </c>
      <c r="AD31" s="69">
        <f t="shared" si="3"/>
        <v>0</v>
      </c>
      <c r="AE31" s="70"/>
      <c r="AF31" s="70">
        <f t="shared" si="1"/>
        <v>3187</v>
      </c>
      <c r="BH31" s="148"/>
    </row>
    <row r="32" spans="1:60" ht="60" customHeight="1" hidden="1">
      <c r="A32" s="1">
        <v>1728</v>
      </c>
      <c r="B32" s="117" t="s">
        <v>563</v>
      </c>
      <c r="C32" s="118"/>
      <c r="D32" s="3"/>
      <c r="E32" s="68"/>
      <c r="F32" s="3"/>
      <c r="G32" s="68"/>
      <c r="H32" s="3">
        <f t="shared" si="2"/>
        <v>0</v>
      </c>
      <c r="I32" s="28"/>
      <c r="J32" s="28"/>
      <c r="K32" s="15"/>
      <c r="L32" s="15"/>
      <c r="M32" s="46"/>
      <c r="N32" s="47"/>
      <c r="O32" s="15"/>
      <c r="P32" s="15"/>
      <c r="Q32" s="54"/>
      <c r="R32" s="54"/>
      <c r="S32" s="15"/>
      <c r="T32" s="15"/>
      <c r="U32" s="65"/>
      <c r="V32" s="65"/>
      <c r="W32" s="15"/>
      <c r="X32" s="15"/>
      <c r="Y32" s="77"/>
      <c r="Z32" s="77"/>
      <c r="AA32" s="15"/>
      <c r="AB32" s="15"/>
      <c r="AC32" s="69">
        <f t="shared" si="3"/>
        <v>0</v>
      </c>
      <c r="AD32" s="69">
        <f t="shared" si="3"/>
        <v>0</v>
      </c>
      <c r="AE32" s="70"/>
      <c r="AF32" s="70">
        <f t="shared" si="1"/>
        <v>0</v>
      </c>
      <c r="BH32" s="148"/>
    </row>
    <row r="33" spans="1:60" ht="43.5" customHeight="1" hidden="1">
      <c r="A33" s="1">
        <v>1725</v>
      </c>
      <c r="B33" s="117" t="s">
        <v>524</v>
      </c>
      <c r="C33" s="119">
        <f>2152+3758+1849</f>
        <v>7759</v>
      </c>
      <c r="D33" s="3"/>
      <c r="E33" s="68"/>
      <c r="F33" s="3"/>
      <c r="G33" s="68"/>
      <c r="H33" s="3">
        <f t="shared" si="2"/>
        <v>7759</v>
      </c>
      <c r="I33" s="28"/>
      <c r="J33" s="28"/>
      <c r="K33" s="15"/>
      <c r="L33" s="26">
        <v>2152</v>
      </c>
      <c r="M33" s="46"/>
      <c r="N33" s="47"/>
      <c r="O33" s="15"/>
      <c r="P33" s="26"/>
      <c r="Q33" s="56"/>
      <c r="R33" s="56"/>
      <c r="S33" s="26"/>
      <c r="T33" s="26">
        <v>3758</v>
      </c>
      <c r="U33" s="72"/>
      <c r="V33" s="72"/>
      <c r="W33" s="26"/>
      <c r="X33" s="26"/>
      <c r="Y33" s="77"/>
      <c r="Z33" s="77"/>
      <c r="AA33" s="26"/>
      <c r="AB33" s="26"/>
      <c r="AC33" s="69">
        <f t="shared" si="3"/>
        <v>0</v>
      </c>
      <c r="AD33" s="69">
        <f t="shared" si="3"/>
        <v>5910</v>
      </c>
      <c r="AE33" s="70"/>
      <c r="AF33" s="70">
        <f t="shared" si="1"/>
        <v>1849</v>
      </c>
      <c r="BH33" s="148"/>
    </row>
    <row r="34" spans="1:60" ht="20.25" customHeight="1">
      <c r="A34" s="12"/>
      <c r="B34" s="127" t="s">
        <v>579</v>
      </c>
      <c r="C34" s="120">
        <f>65424452</f>
        <v>65424452</v>
      </c>
      <c r="D34" s="5"/>
      <c r="E34" s="67"/>
      <c r="F34" s="5"/>
      <c r="G34" s="67"/>
      <c r="H34" s="5">
        <f>C34+D34-F34</f>
        <v>65424452</v>
      </c>
      <c r="I34" s="33">
        <v>0</v>
      </c>
      <c r="J34" s="39"/>
      <c r="K34" s="17"/>
      <c r="L34" s="17"/>
      <c r="M34" s="17"/>
      <c r="N34" s="18"/>
      <c r="O34" s="17"/>
      <c r="P34" s="17"/>
      <c r="Q34" s="17">
        <v>39240</v>
      </c>
      <c r="R34" s="17"/>
      <c r="S34" s="17"/>
      <c r="T34" s="17"/>
      <c r="U34" s="17"/>
      <c r="V34" s="17"/>
      <c r="W34" s="17"/>
      <c r="X34" s="17"/>
      <c r="Y34" s="7"/>
      <c r="Z34" s="7"/>
      <c r="AA34" s="17"/>
      <c r="AB34" s="17"/>
      <c r="AC34" s="5">
        <f t="shared" si="3"/>
        <v>39240</v>
      </c>
      <c r="AD34" s="5">
        <f t="shared" si="3"/>
        <v>0</v>
      </c>
      <c r="AE34" s="5"/>
      <c r="AF34" s="5">
        <f t="shared" si="1"/>
        <v>65463692</v>
      </c>
      <c r="BH34" s="148">
        <v>4260089</v>
      </c>
    </row>
    <row r="35" spans="1:60" ht="19.5" customHeight="1">
      <c r="A35" s="12"/>
      <c r="B35" s="127" t="s">
        <v>536</v>
      </c>
      <c r="C35" s="120">
        <f>11104836</f>
        <v>11104836</v>
      </c>
      <c r="D35" s="5">
        <f>SUM(D36:D59)</f>
        <v>0</v>
      </c>
      <c r="E35" s="5"/>
      <c r="F35" s="5">
        <f>SUM(F36:F59)</f>
        <v>0</v>
      </c>
      <c r="G35" s="5"/>
      <c r="H35" s="5">
        <f>SUM(H36:H59)</f>
        <v>11104705</v>
      </c>
      <c r="I35" s="5">
        <f aca="true" t="shared" si="4" ref="I35:AB35">SUM(I36:I59)</f>
        <v>564185</v>
      </c>
      <c r="J35" s="5">
        <f t="shared" si="4"/>
        <v>0</v>
      </c>
      <c r="K35" s="5">
        <f t="shared" si="4"/>
        <v>0</v>
      </c>
      <c r="L35" s="5">
        <f t="shared" si="4"/>
        <v>191079</v>
      </c>
      <c r="M35" s="5">
        <f t="shared" si="4"/>
        <v>1864337</v>
      </c>
      <c r="N35" s="5">
        <f t="shared" si="4"/>
        <v>0</v>
      </c>
      <c r="O35" s="5">
        <f t="shared" si="4"/>
        <v>0</v>
      </c>
      <c r="P35" s="5">
        <f t="shared" si="4"/>
        <v>202073</v>
      </c>
      <c r="Q35" s="5">
        <f t="shared" si="4"/>
        <v>525346</v>
      </c>
      <c r="R35" s="5">
        <f t="shared" si="4"/>
        <v>0</v>
      </c>
      <c r="S35" s="5">
        <f t="shared" si="4"/>
        <v>0</v>
      </c>
      <c r="T35" s="5">
        <f t="shared" si="4"/>
        <v>2474747</v>
      </c>
      <c r="U35" s="5">
        <f t="shared" si="4"/>
        <v>70971861</v>
      </c>
      <c r="V35" s="5">
        <f t="shared" si="4"/>
        <v>0</v>
      </c>
      <c r="W35" s="5">
        <f t="shared" si="4"/>
        <v>0</v>
      </c>
      <c r="X35" s="5">
        <f t="shared" si="4"/>
        <v>70971861</v>
      </c>
      <c r="Y35" s="7">
        <f t="shared" si="4"/>
        <v>300932</v>
      </c>
      <c r="Z35" s="7">
        <f t="shared" si="4"/>
        <v>0</v>
      </c>
      <c r="AA35" s="5">
        <f t="shared" si="4"/>
        <v>0</v>
      </c>
      <c r="AB35" s="5">
        <f t="shared" si="4"/>
        <v>0</v>
      </c>
      <c r="AC35" s="5">
        <f t="shared" si="3"/>
        <v>74226661</v>
      </c>
      <c r="AD35" s="5">
        <f t="shared" si="3"/>
        <v>73839760</v>
      </c>
      <c r="AE35" s="5">
        <f>SUM(AE36:AE59)</f>
        <v>0</v>
      </c>
      <c r="AF35" s="5">
        <f t="shared" si="1"/>
        <v>11491606</v>
      </c>
      <c r="BH35" s="148">
        <v>8924705</v>
      </c>
    </row>
    <row r="36" spans="1:60" ht="43.5" customHeight="1" hidden="1">
      <c r="A36" s="14">
        <v>1054</v>
      </c>
      <c r="B36" s="117" t="s">
        <v>571</v>
      </c>
      <c r="C36" s="118"/>
      <c r="D36" s="3"/>
      <c r="E36" s="68"/>
      <c r="F36" s="3"/>
      <c r="G36" s="68"/>
      <c r="H36" s="3">
        <f aca="true" t="shared" si="5" ref="H36:H59">C36+D36-F36</f>
        <v>0</v>
      </c>
      <c r="I36" s="28"/>
      <c r="J36" s="28"/>
      <c r="K36" s="15"/>
      <c r="L36" s="15"/>
      <c r="M36" s="46">
        <v>-2142</v>
      </c>
      <c r="N36" s="47"/>
      <c r="O36" s="15"/>
      <c r="P36" s="15"/>
      <c r="Q36" s="54"/>
      <c r="R36" s="54"/>
      <c r="S36" s="15"/>
      <c r="T36" s="15"/>
      <c r="U36" s="65"/>
      <c r="V36" s="65"/>
      <c r="W36" s="15"/>
      <c r="X36" s="15"/>
      <c r="Y36" s="77"/>
      <c r="Z36" s="77"/>
      <c r="AA36" s="15"/>
      <c r="AB36" s="15"/>
      <c r="AC36" s="69">
        <f t="shared" si="3"/>
        <v>-2142</v>
      </c>
      <c r="AD36" s="69">
        <f t="shared" si="3"/>
        <v>0</v>
      </c>
      <c r="AE36" s="70"/>
      <c r="AF36" s="70">
        <f t="shared" si="1"/>
        <v>-2142</v>
      </c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BH36" s="148"/>
    </row>
    <row r="37" spans="1:60" ht="38.25" customHeight="1" hidden="1">
      <c r="A37" s="1">
        <v>1103</v>
      </c>
      <c r="B37" s="117" t="s">
        <v>586</v>
      </c>
      <c r="C37" s="128"/>
      <c r="D37" s="3"/>
      <c r="E37" s="73"/>
      <c r="F37" s="3"/>
      <c r="G37" s="73"/>
      <c r="H37" s="3">
        <f>C37+D37-F37</f>
        <v>0</v>
      </c>
      <c r="I37" s="29"/>
      <c r="J37" s="29"/>
      <c r="K37" s="15"/>
      <c r="L37" s="15"/>
      <c r="M37" s="46"/>
      <c r="N37" s="46"/>
      <c r="O37" s="15"/>
      <c r="P37" s="15"/>
      <c r="Q37" s="54"/>
      <c r="R37" s="54"/>
      <c r="S37" s="15"/>
      <c r="T37" s="15"/>
      <c r="U37" s="65"/>
      <c r="V37" s="65"/>
      <c r="W37" s="15"/>
      <c r="X37" s="15"/>
      <c r="Y37" s="77"/>
      <c r="Z37" s="77"/>
      <c r="AA37" s="15"/>
      <c r="AB37" s="15"/>
      <c r="AC37" s="69">
        <f t="shared" si="3"/>
        <v>0</v>
      </c>
      <c r="AD37" s="69">
        <f t="shared" si="3"/>
        <v>0</v>
      </c>
      <c r="AE37" s="70"/>
      <c r="AF37" s="70">
        <f t="shared" si="1"/>
        <v>0</v>
      </c>
      <c r="BH37" s="148"/>
    </row>
    <row r="38" spans="1:60" ht="28.5" customHeight="1" hidden="1">
      <c r="A38" s="14">
        <v>1105</v>
      </c>
      <c r="B38" s="117" t="s">
        <v>587</v>
      </c>
      <c r="C38" s="120"/>
      <c r="D38" s="3"/>
      <c r="E38" s="73"/>
      <c r="F38" s="3"/>
      <c r="G38" s="73"/>
      <c r="H38" s="3">
        <f t="shared" si="5"/>
        <v>0</v>
      </c>
      <c r="I38" s="29"/>
      <c r="J38" s="29"/>
      <c r="K38" s="15"/>
      <c r="L38" s="15"/>
      <c r="M38" s="46"/>
      <c r="N38" s="46"/>
      <c r="O38" s="15"/>
      <c r="P38" s="15"/>
      <c r="Q38" s="54"/>
      <c r="R38" s="54"/>
      <c r="S38" s="15"/>
      <c r="T38" s="15"/>
      <c r="U38" s="65"/>
      <c r="V38" s="65"/>
      <c r="W38" s="15"/>
      <c r="X38" s="15"/>
      <c r="Y38" s="77"/>
      <c r="Z38" s="77"/>
      <c r="AA38" s="15"/>
      <c r="AB38" s="15"/>
      <c r="AC38" s="69">
        <f t="shared" si="3"/>
        <v>0</v>
      </c>
      <c r="AD38" s="69">
        <f t="shared" si="3"/>
        <v>0</v>
      </c>
      <c r="AE38" s="70"/>
      <c r="AF38" s="70">
        <f t="shared" si="1"/>
        <v>0</v>
      </c>
      <c r="BH38" s="148"/>
    </row>
    <row r="39" spans="1:60" ht="28.5" customHeight="1" hidden="1">
      <c r="A39" s="14">
        <v>1106</v>
      </c>
      <c r="B39" s="117" t="s">
        <v>588</v>
      </c>
      <c r="C39" s="120"/>
      <c r="D39" s="3"/>
      <c r="E39" s="73"/>
      <c r="F39" s="3"/>
      <c r="G39" s="73"/>
      <c r="H39" s="3">
        <f t="shared" si="5"/>
        <v>0</v>
      </c>
      <c r="I39" s="29"/>
      <c r="J39" s="29"/>
      <c r="K39" s="15"/>
      <c r="L39" s="15"/>
      <c r="M39" s="46"/>
      <c r="N39" s="46"/>
      <c r="O39" s="15"/>
      <c r="P39" s="15"/>
      <c r="Q39" s="54"/>
      <c r="R39" s="54"/>
      <c r="S39" s="15"/>
      <c r="T39" s="15"/>
      <c r="U39" s="65"/>
      <c r="V39" s="65"/>
      <c r="W39" s="15"/>
      <c r="X39" s="15"/>
      <c r="Y39" s="77"/>
      <c r="Z39" s="77"/>
      <c r="AA39" s="15"/>
      <c r="AB39" s="15"/>
      <c r="AC39" s="69">
        <f t="shared" si="3"/>
        <v>0</v>
      </c>
      <c r="AD39" s="69">
        <f t="shared" si="3"/>
        <v>0</v>
      </c>
      <c r="AE39" s="70"/>
      <c r="AF39" s="70">
        <f t="shared" si="1"/>
        <v>0</v>
      </c>
      <c r="BH39" s="148"/>
    </row>
    <row r="40" spans="1:60" s="151" customFormat="1" ht="28.5" customHeight="1" hidden="1">
      <c r="A40" s="74">
        <v>1254</v>
      </c>
      <c r="B40" s="121" t="s">
        <v>88</v>
      </c>
      <c r="C40" s="122">
        <f>8001000-C23</f>
        <v>7493000</v>
      </c>
      <c r="D40" s="8"/>
      <c r="E40" s="75"/>
      <c r="F40" s="8"/>
      <c r="G40" s="75"/>
      <c r="H40" s="8">
        <f t="shared" si="5"/>
        <v>7493000</v>
      </c>
      <c r="I40" s="35"/>
      <c r="J40" s="35"/>
      <c r="K40" s="8"/>
      <c r="L40" s="8">
        <v>190500</v>
      </c>
      <c r="M40" s="52">
        <f>300+55000+50000</f>
        <v>105300</v>
      </c>
      <c r="N40" s="63"/>
      <c r="O40" s="8"/>
      <c r="P40" s="64"/>
      <c r="Q40" s="61"/>
      <c r="R40" s="61"/>
      <c r="S40" s="8"/>
      <c r="T40" s="8"/>
      <c r="U40" s="76"/>
      <c r="V40" s="76"/>
      <c r="W40" s="8"/>
      <c r="X40" s="8"/>
      <c r="Y40" s="77">
        <v>42000</v>
      </c>
      <c r="Z40" s="77"/>
      <c r="AA40" s="8"/>
      <c r="AB40" s="8"/>
      <c r="AC40" s="69">
        <f t="shared" si="3"/>
        <v>147300</v>
      </c>
      <c r="AD40" s="69">
        <f t="shared" si="3"/>
        <v>190500</v>
      </c>
      <c r="AE40" s="78"/>
      <c r="AF40" s="78">
        <f t="shared" si="1"/>
        <v>7449800</v>
      </c>
      <c r="BH40" s="148"/>
    </row>
    <row r="41" spans="1:60" ht="28.5" customHeight="1" hidden="1">
      <c r="A41" s="1">
        <v>1255</v>
      </c>
      <c r="B41" s="117" t="s">
        <v>89</v>
      </c>
      <c r="C41" s="118">
        <v>3010900</v>
      </c>
      <c r="D41" s="3"/>
      <c r="E41" s="68"/>
      <c r="F41" s="3"/>
      <c r="G41" s="68"/>
      <c r="H41" s="3">
        <f t="shared" si="5"/>
        <v>3010900</v>
      </c>
      <c r="I41" s="28"/>
      <c r="J41" s="28"/>
      <c r="K41" s="15"/>
      <c r="L41" s="59"/>
      <c r="M41" s="46">
        <f>85000+25000</f>
        <v>110000</v>
      </c>
      <c r="N41" s="47"/>
      <c r="O41" s="15"/>
      <c r="P41" s="26"/>
      <c r="Q41" s="56"/>
      <c r="R41" s="56"/>
      <c r="S41" s="26"/>
      <c r="T41" s="26">
        <f>2375900</f>
        <v>2375900</v>
      </c>
      <c r="U41" s="72">
        <f>69850000</f>
        <v>69850000</v>
      </c>
      <c r="V41" s="72"/>
      <c r="W41" s="26"/>
      <c r="X41" s="26">
        <v>69850000</v>
      </c>
      <c r="Y41" s="77"/>
      <c r="Z41" s="77"/>
      <c r="AA41" s="26"/>
      <c r="AB41" s="26"/>
      <c r="AC41" s="69">
        <f t="shared" si="3"/>
        <v>69960000</v>
      </c>
      <c r="AD41" s="69">
        <f t="shared" si="3"/>
        <v>72225900</v>
      </c>
      <c r="AE41" s="70"/>
      <c r="AF41" s="70">
        <f t="shared" si="1"/>
        <v>745000</v>
      </c>
      <c r="BH41" s="148"/>
    </row>
    <row r="42" spans="1:60" ht="28.5" customHeight="1" hidden="1">
      <c r="A42" s="1">
        <v>1256</v>
      </c>
      <c r="B42" s="117" t="s">
        <v>90</v>
      </c>
      <c r="C42" s="118">
        <v>91824</v>
      </c>
      <c r="D42" s="3"/>
      <c r="E42" s="68"/>
      <c r="F42" s="3"/>
      <c r="G42" s="68"/>
      <c r="H42" s="3">
        <f t="shared" si="5"/>
        <v>91824</v>
      </c>
      <c r="I42" s="28"/>
      <c r="J42" s="28"/>
      <c r="K42" s="15"/>
      <c r="L42" s="15"/>
      <c r="M42" s="46"/>
      <c r="N42" s="47"/>
      <c r="O42" s="15"/>
      <c r="P42" s="15"/>
      <c r="Q42" s="54"/>
      <c r="R42" s="54"/>
      <c r="S42" s="15"/>
      <c r="T42" s="15"/>
      <c r="U42" s="65"/>
      <c r="V42" s="65"/>
      <c r="W42" s="15"/>
      <c r="X42" s="15"/>
      <c r="Y42" s="77"/>
      <c r="Z42" s="77"/>
      <c r="AA42" s="15"/>
      <c r="AB42" s="15"/>
      <c r="AC42" s="69">
        <f t="shared" si="3"/>
        <v>0</v>
      </c>
      <c r="AD42" s="69">
        <f t="shared" si="3"/>
        <v>0</v>
      </c>
      <c r="AE42" s="70"/>
      <c r="AF42" s="70">
        <f t="shared" si="1"/>
        <v>91824</v>
      </c>
      <c r="BH42" s="148"/>
    </row>
    <row r="43" spans="1:60" ht="24" hidden="1">
      <c r="A43" s="1">
        <v>1264</v>
      </c>
      <c r="B43" s="117" t="s">
        <v>99</v>
      </c>
      <c r="C43" s="118">
        <v>331996</v>
      </c>
      <c r="D43" s="3"/>
      <c r="E43" s="68"/>
      <c r="F43" s="3"/>
      <c r="G43" s="68"/>
      <c r="H43" s="3">
        <f t="shared" si="5"/>
        <v>331996</v>
      </c>
      <c r="I43" s="28"/>
      <c r="J43" s="28"/>
      <c r="K43" s="15"/>
      <c r="L43" s="15"/>
      <c r="M43" s="46"/>
      <c r="N43" s="47"/>
      <c r="O43" s="15"/>
      <c r="P43" s="15"/>
      <c r="Q43" s="54"/>
      <c r="R43" s="54"/>
      <c r="S43" s="15"/>
      <c r="T43" s="15"/>
      <c r="U43" s="65"/>
      <c r="V43" s="65"/>
      <c r="W43" s="15"/>
      <c r="X43" s="15"/>
      <c r="Y43" s="77"/>
      <c r="Z43" s="77"/>
      <c r="AA43" s="15"/>
      <c r="AB43" s="15"/>
      <c r="AC43" s="69">
        <f t="shared" si="3"/>
        <v>0</v>
      </c>
      <c r="AD43" s="69">
        <f t="shared" si="3"/>
        <v>0</v>
      </c>
      <c r="AE43" s="70"/>
      <c r="AF43" s="70">
        <f t="shared" si="1"/>
        <v>331996</v>
      </c>
      <c r="BH43" s="148"/>
    </row>
    <row r="44" spans="1:60" ht="28.5" customHeight="1" hidden="1">
      <c r="A44" s="1">
        <v>1259</v>
      </c>
      <c r="B44" s="117" t="s">
        <v>528</v>
      </c>
      <c r="C44" s="118"/>
      <c r="D44" s="3"/>
      <c r="E44" s="68"/>
      <c r="F44" s="3"/>
      <c r="G44" s="68"/>
      <c r="H44" s="3">
        <f t="shared" si="5"/>
        <v>0</v>
      </c>
      <c r="I44" s="28"/>
      <c r="J44" s="28"/>
      <c r="K44" s="15"/>
      <c r="L44" s="15"/>
      <c r="M44" s="46">
        <f>-300</f>
        <v>-300</v>
      </c>
      <c r="N44" s="47"/>
      <c r="O44" s="15"/>
      <c r="P44" s="15"/>
      <c r="Q44" s="54"/>
      <c r="R44" s="54"/>
      <c r="S44" s="15"/>
      <c r="T44" s="15"/>
      <c r="U44" s="65"/>
      <c r="V44" s="65"/>
      <c r="W44" s="15"/>
      <c r="X44" s="15"/>
      <c r="Y44" s="77"/>
      <c r="Z44" s="77"/>
      <c r="AA44" s="15"/>
      <c r="AB44" s="15"/>
      <c r="AC44" s="69">
        <f t="shared" si="3"/>
        <v>-300</v>
      </c>
      <c r="AD44" s="69">
        <f t="shared" si="3"/>
        <v>0</v>
      </c>
      <c r="AE44" s="70"/>
      <c r="AF44" s="70">
        <f t="shared" si="1"/>
        <v>-300</v>
      </c>
      <c r="BH44" s="148"/>
    </row>
    <row r="45" spans="1:60" ht="32.25" customHeight="1" hidden="1">
      <c r="A45" s="14">
        <v>1265</v>
      </c>
      <c r="B45" s="117" t="s">
        <v>580</v>
      </c>
      <c r="C45" s="118"/>
      <c r="D45" s="3"/>
      <c r="E45" s="68"/>
      <c r="F45" s="3"/>
      <c r="G45" s="68"/>
      <c r="H45" s="3">
        <f t="shared" si="5"/>
        <v>0</v>
      </c>
      <c r="I45" s="28"/>
      <c r="J45" s="28"/>
      <c r="K45" s="15"/>
      <c r="L45" s="15"/>
      <c r="M45" s="46"/>
      <c r="N45" s="47"/>
      <c r="O45" s="15"/>
      <c r="P45" s="15"/>
      <c r="Q45" s="54"/>
      <c r="R45" s="54"/>
      <c r="S45" s="15"/>
      <c r="T45" s="15"/>
      <c r="U45" s="65"/>
      <c r="V45" s="65"/>
      <c r="W45" s="15"/>
      <c r="X45" s="15"/>
      <c r="Y45" s="77"/>
      <c r="Z45" s="77"/>
      <c r="AA45" s="15"/>
      <c r="AB45" s="15"/>
      <c r="AC45" s="69">
        <f t="shared" si="3"/>
        <v>0</v>
      </c>
      <c r="AD45" s="69">
        <f t="shared" si="3"/>
        <v>0</v>
      </c>
      <c r="AE45" s="70"/>
      <c r="AF45" s="70">
        <f t="shared" si="1"/>
        <v>0</v>
      </c>
      <c r="BH45" s="148"/>
    </row>
    <row r="46" spans="1:60" ht="36" customHeight="1" hidden="1">
      <c r="A46" s="14">
        <v>1266</v>
      </c>
      <c r="B46" s="117" t="s">
        <v>581</v>
      </c>
      <c r="C46" s="118"/>
      <c r="D46" s="3"/>
      <c r="E46" s="68"/>
      <c r="F46" s="3"/>
      <c r="G46" s="68"/>
      <c r="H46" s="3">
        <f t="shared" si="5"/>
        <v>0</v>
      </c>
      <c r="I46" s="28"/>
      <c r="J46" s="28"/>
      <c r="K46" s="15"/>
      <c r="L46" s="15"/>
      <c r="M46" s="46"/>
      <c r="N46" s="47"/>
      <c r="O46" s="15"/>
      <c r="P46" s="15"/>
      <c r="Q46" s="54"/>
      <c r="R46" s="54"/>
      <c r="S46" s="15"/>
      <c r="T46" s="15"/>
      <c r="U46" s="65"/>
      <c r="V46" s="65"/>
      <c r="W46" s="15"/>
      <c r="X46" s="15"/>
      <c r="Y46" s="77"/>
      <c r="Z46" s="77"/>
      <c r="AA46" s="15"/>
      <c r="AB46" s="15"/>
      <c r="AC46" s="69">
        <f t="shared" si="3"/>
        <v>0</v>
      </c>
      <c r="AD46" s="69">
        <f t="shared" si="3"/>
        <v>0</v>
      </c>
      <c r="AE46" s="70"/>
      <c r="AF46" s="70">
        <f t="shared" si="1"/>
        <v>0</v>
      </c>
      <c r="BH46" s="148"/>
    </row>
    <row r="47" spans="1:60" ht="59.25" customHeight="1" hidden="1">
      <c r="A47" s="14">
        <v>1267</v>
      </c>
      <c r="B47" s="117" t="s">
        <v>585</v>
      </c>
      <c r="C47" s="118"/>
      <c r="D47" s="3"/>
      <c r="E47" s="68"/>
      <c r="F47" s="3"/>
      <c r="G47" s="68"/>
      <c r="H47" s="3">
        <f t="shared" si="5"/>
        <v>0</v>
      </c>
      <c r="I47" s="28"/>
      <c r="J47" s="28"/>
      <c r="K47" s="15"/>
      <c r="L47" s="15"/>
      <c r="M47" s="46"/>
      <c r="N47" s="47"/>
      <c r="O47" s="15"/>
      <c r="P47" s="15"/>
      <c r="Q47" s="54"/>
      <c r="R47" s="54"/>
      <c r="S47" s="15"/>
      <c r="T47" s="15"/>
      <c r="U47" s="65"/>
      <c r="V47" s="65"/>
      <c r="W47" s="15"/>
      <c r="X47" s="15"/>
      <c r="Y47" s="77"/>
      <c r="Z47" s="77"/>
      <c r="AA47" s="15"/>
      <c r="AB47" s="15"/>
      <c r="AC47" s="69">
        <f t="shared" si="3"/>
        <v>0</v>
      </c>
      <c r="AD47" s="69">
        <f t="shared" si="3"/>
        <v>0</v>
      </c>
      <c r="AE47" s="70"/>
      <c r="AF47" s="70">
        <f t="shared" si="1"/>
        <v>0</v>
      </c>
      <c r="BH47" s="148"/>
    </row>
    <row r="48" spans="1:60" ht="28.5" customHeight="1" hidden="1">
      <c r="A48" s="1">
        <v>1725</v>
      </c>
      <c r="B48" s="117" t="s">
        <v>526</v>
      </c>
      <c r="C48" s="119">
        <f>109060-C33</f>
        <v>101301</v>
      </c>
      <c r="D48" s="3"/>
      <c r="E48" s="68"/>
      <c r="F48" s="3"/>
      <c r="G48" s="68"/>
      <c r="H48" s="3">
        <f t="shared" si="5"/>
        <v>101301</v>
      </c>
      <c r="I48" s="28">
        <v>0</v>
      </c>
      <c r="J48" s="28"/>
      <c r="K48" s="15"/>
      <c r="L48" s="59">
        <f>388+191</f>
        <v>579</v>
      </c>
      <c r="M48" s="46">
        <f>8675+29</f>
        <v>8704</v>
      </c>
      <c r="N48" s="47"/>
      <c r="O48" s="15"/>
      <c r="P48" s="26"/>
      <c r="Q48" s="56"/>
      <c r="R48" s="56"/>
      <c r="S48" s="26"/>
      <c r="T48" s="26">
        <f>5348+13048+3132+696+765+765</f>
        <v>23754</v>
      </c>
      <c r="U48" s="72">
        <f>1121861</f>
        <v>1121861</v>
      </c>
      <c r="V48" s="72"/>
      <c r="W48" s="26"/>
      <c r="X48" s="26">
        <v>1121861</v>
      </c>
      <c r="Y48" s="77">
        <v>1404</v>
      </c>
      <c r="Z48" s="77"/>
      <c r="AA48" s="26"/>
      <c r="AB48" s="26"/>
      <c r="AC48" s="69">
        <f t="shared" si="3"/>
        <v>1131969</v>
      </c>
      <c r="AD48" s="69">
        <f t="shared" si="3"/>
        <v>1146194</v>
      </c>
      <c r="AE48" s="70"/>
      <c r="AF48" s="70">
        <f t="shared" si="1"/>
        <v>87076</v>
      </c>
      <c r="BH48" s="148"/>
    </row>
    <row r="49" spans="1:60" ht="28.5" customHeight="1" hidden="1">
      <c r="A49" s="1">
        <v>1726</v>
      </c>
      <c r="B49" s="117" t="s">
        <v>567</v>
      </c>
      <c r="C49" s="119"/>
      <c r="D49" s="3"/>
      <c r="E49" s="68"/>
      <c r="F49" s="3"/>
      <c r="G49" s="68"/>
      <c r="H49" s="3">
        <f t="shared" si="5"/>
        <v>0</v>
      </c>
      <c r="I49" s="28"/>
      <c r="J49" s="28"/>
      <c r="K49" s="15"/>
      <c r="L49" s="15"/>
      <c r="M49" s="46"/>
      <c r="N49" s="47"/>
      <c r="O49" s="15"/>
      <c r="P49" s="15"/>
      <c r="Q49" s="54"/>
      <c r="R49" s="54"/>
      <c r="S49" s="15"/>
      <c r="T49" s="15"/>
      <c r="U49" s="65"/>
      <c r="V49" s="65"/>
      <c r="W49" s="15"/>
      <c r="X49" s="15"/>
      <c r="Y49" s="77"/>
      <c r="Z49" s="77"/>
      <c r="AA49" s="15"/>
      <c r="AB49" s="15"/>
      <c r="AC49" s="69">
        <f t="shared" si="3"/>
        <v>0</v>
      </c>
      <c r="AD49" s="69">
        <f t="shared" si="3"/>
        <v>0</v>
      </c>
      <c r="AE49" s="70"/>
      <c r="AF49" s="70">
        <f t="shared" si="1"/>
        <v>0</v>
      </c>
      <c r="BH49" s="148"/>
    </row>
    <row r="50" spans="1:60" ht="24" hidden="1">
      <c r="A50" s="1">
        <v>1728</v>
      </c>
      <c r="B50" s="117" t="s">
        <v>100</v>
      </c>
      <c r="C50" s="119">
        <v>591</v>
      </c>
      <c r="D50" s="3"/>
      <c r="E50" s="68"/>
      <c r="F50" s="3"/>
      <c r="G50" s="68"/>
      <c r="H50" s="3">
        <f t="shared" si="5"/>
        <v>591</v>
      </c>
      <c r="I50" s="28"/>
      <c r="J50" s="28"/>
      <c r="K50" s="15"/>
      <c r="L50" s="15"/>
      <c r="M50" s="46"/>
      <c r="N50" s="47"/>
      <c r="O50" s="15"/>
      <c r="P50" s="15"/>
      <c r="Q50" s="54"/>
      <c r="R50" s="54"/>
      <c r="S50" s="15"/>
      <c r="T50" s="15"/>
      <c r="U50" s="65"/>
      <c r="V50" s="65"/>
      <c r="W50" s="15"/>
      <c r="X50" s="15"/>
      <c r="Y50" s="77"/>
      <c r="Z50" s="77"/>
      <c r="AA50" s="15"/>
      <c r="AB50" s="15"/>
      <c r="AC50" s="69">
        <f t="shared" si="3"/>
        <v>0</v>
      </c>
      <c r="AD50" s="69">
        <f t="shared" si="3"/>
        <v>0</v>
      </c>
      <c r="AE50" s="70"/>
      <c r="AF50" s="70">
        <f t="shared" si="1"/>
        <v>591</v>
      </c>
      <c r="BH50" s="148"/>
    </row>
    <row r="51" spans="1:60" ht="28.5" customHeight="1" hidden="1">
      <c r="A51" s="1">
        <v>1302</v>
      </c>
      <c r="B51" s="117" t="s">
        <v>534</v>
      </c>
      <c r="C51" s="118"/>
      <c r="D51" s="3"/>
      <c r="E51" s="68"/>
      <c r="F51" s="3"/>
      <c r="G51" s="68"/>
      <c r="H51" s="3">
        <f t="shared" si="5"/>
        <v>0</v>
      </c>
      <c r="I51" s="29"/>
      <c r="J51" s="29"/>
      <c r="K51" s="15"/>
      <c r="L51" s="15"/>
      <c r="M51" s="46"/>
      <c r="N51" s="46"/>
      <c r="O51" s="15"/>
      <c r="P51" s="15"/>
      <c r="Q51" s="54">
        <v>525346</v>
      </c>
      <c r="R51" s="54"/>
      <c r="S51" s="15"/>
      <c r="T51" s="15"/>
      <c r="U51" s="65"/>
      <c r="V51" s="65"/>
      <c r="W51" s="15"/>
      <c r="X51" s="15"/>
      <c r="Y51" s="77"/>
      <c r="Z51" s="77"/>
      <c r="AA51" s="15"/>
      <c r="AB51" s="15"/>
      <c r="AC51" s="69">
        <f t="shared" si="3"/>
        <v>525346</v>
      </c>
      <c r="AD51" s="69">
        <f t="shared" si="3"/>
        <v>0</v>
      </c>
      <c r="AE51" s="70"/>
      <c r="AF51" s="70">
        <f t="shared" si="1"/>
        <v>525346</v>
      </c>
      <c r="BH51" s="148"/>
    </row>
    <row r="52" spans="1:60" ht="28.5" customHeight="1" hidden="1">
      <c r="A52" s="1">
        <v>1303</v>
      </c>
      <c r="B52" s="117" t="s">
        <v>551</v>
      </c>
      <c r="C52" s="118"/>
      <c r="D52" s="3"/>
      <c r="E52" s="68"/>
      <c r="F52" s="3"/>
      <c r="G52" s="68"/>
      <c r="H52" s="3">
        <f t="shared" si="5"/>
        <v>0</v>
      </c>
      <c r="I52" s="29">
        <v>0</v>
      </c>
      <c r="J52" s="29"/>
      <c r="K52" s="15"/>
      <c r="L52" s="15"/>
      <c r="M52" s="46"/>
      <c r="N52" s="46"/>
      <c r="O52" s="15"/>
      <c r="P52" s="15"/>
      <c r="Q52" s="54"/>
      <c r="R52" s="54"/>
      <c r="S52" s="15"/>
      <c r="T52" s="15"/>
      <c r="U52" s="65"/>
      <c r="V52" s="65"/>
      <c r="W52" s="15"/>
      <c r="X52" s="15"/>
      <c r="Y52" s="77"/>
      <c r="Z52" s="77"/>
      <c r="AA52" s="15"/>
      <c r="AB52" s="15"/>
      <c r="AC52" s="69">
        <f t="shared" si="3"/>
        <v>0</v>
      </c>
      <c r="AD52" s="69">
        <f t="shared" si="3"/>
        <v>0</v>
      </c>
      <c r="AE52" s="70"/>
      <c r="AF52" s="70"/>
      <c r="BH52" s="148"/>
    </row>
    <row r="53" spans="1:60" ht="28.5" customHeight="1" hidden="1">
      <c r="A53" s="1">
        <v>1304</v>
      </c>
      <c r="B53" s="117" t="s">
        <v>388</v>
      </c>
      <c r="C53" s="118">
        <v>72300</v>
      </c>
      <c r="D53" s="3"/>
      <c r="E53" s="68"/>
      <c r="F53" s="3"/>
      <c r="G53" s="68"/>
      <c r="H53" s="3">
        <f t="shared" si="5"/>
        <v>72300</v>
      </c>
      <c r="I53" s="29"/>
      <c r="J53" s="29"/>
      <c r="K53" s="15"/>
      <c r="L53" s="15"/>
      <c r="M53" s="46"/>
      <c r="N53" s="46"/>
      <c r="O53" s="15"/>
      <c r="P53" s="15"/>
      <c r="Q53" s="54"/>
      <c r="R53" s="54"/>
      <c r="S53" s="15"/>
      <c r="T53" s="15">
        <v>72300</v>
      </c>
      <c r="U53" s="65"/>
      <c r="V53" s="65"/>
      <c r="W53" s="15"/>
      <c r="X53" s="15"/>
      <c r="Y53" s="77"/>
      <c r="Z53" s="77"/>
      <c r="AA53" s="15"/>
      <c r="AB53" s="15"/>
      <c r="AC53" s="69">
        <f t="shared" si="3"/>
        <v>0</v>
      </c>
      <c r="AD53" s="69">
        <f t="shared" si="3"/>
        <v>72300</v>
      </c>
      <c r="AE53" s="70"/>
      <c r="AF53" s="70">
        <f t="shared" si="1"/>
        <v>0</v>
      </c>
      <c r="BH53" s="148"/>
    </row>
    <row r="54" spans="1:60" ht="28.5" customHeight="1" hidden="1">
      <c r="A54" s="1">
        <v>1312</v>
      </c>
      <c r="B54" s="117" t="s">
        <v>589</v>
      </c>
      <c r="C54" s="118"/>
      <c r="D54" s="3"/>
      <c r="E54" s="68"/>
      <c r="F54" s="3"/>
      <c r="G54" s="68"/>
      <c r="H54" s="3">
        <f t="shared" si="5"/>
        <v>0</v>
      </c>
      <c r="I54" s="29"/>
      <c r="J54" s="29"/>
      <c r="K54" s="15"/>
      <c r="L54" s="15"/>
      <c r="M54" s="46"/>
      <c r="N54" s="46"/>
      <c r="O54" s="15"/>
      <c r="P54" s="15"/>
      <c r="Q54" s="54"/>
      <c r="R54" s="54"/>
      <c r="S54" s="15"/>
      <c r="T54" s="15"/>
      <c r="U54" s="65"/>
      <c r="V54" s="65"/>
      <c r="W54" s="15"/>
      <c r="X54" s="15"/>
      <c r="Y54" s="77"/>
      <c r="Z54" s="77"/>
      <c r="AA54" s="15"/>
      <c r="AB54" s="15"/>
      <c r="AC54" s="69">
        <f t="shared" si="3"/>
        <v>0</v>
      </c>
      <c r="AD54" s="69">
        <f t="shared" si="3"/>
        <v>0</v>
      </c>
      <c r="AE54" s="70"/>
      <c r="AF54" s="70">
        <f t="shared" si="1"/>
        <v>0</v>
      </c>
      <c r="BH54" s="148"/>
    </row>
    <row r="55" spans="1:60" ht="28.5" customHeight="1" hidden="1">
      <c r="A55" s="1">
        <v>1313</v>
      </c>
      <c r="B55" s="117" t="s">
        <v>590</v>
      </c>
      <c r="C55" s="118"/>
      <c r="D55" s="3"/>
      <c r="E55" s="68"/>
      <c r="F55" s="3"/>
      <c r="G55" s="68"/>
      <c r="H55" s="3">
        <f t="shared" si="5"/>
        <v>0</v>
      </c>
      <c r="I55" s="29">
        <v>0</v>
      </c>
      <c r="J55" s="29"/>
      <c r="K55" s="15"/>
      <c r="L55" s="15"/>
      <c r="M55" s="46"/>
      <c r="N55" s="46"/>
      <c r="O55" s="15"/>
      <c r="P55" s="15"/>
      <c r="Q55" s="54"/>
      <c r="R55" s="54"/>
      <c r="S55" s="15"/>
      <c r="T55" s="15"/>
      <c r="U55" s="65"/>
      <c r="V55" s="65"/>
      <c r="W55" s="15"/>
      <c r="X55" s="15"/>
      <c r="Y55" s="77"/>
      <c r="Z55" s="77"/>
      <c r="AA55" s="15"/>
      <c r="AB55" s="15"/>
      <c r="AC55" s="69">
        <f t="shared" si="3"/>
        <v>0</v>
      </c>
      <c r="AD55" s="69">
        <f t="shared" si="3"/>
        <v>0</v>
      </c>
      <c r="AE55" s="70"/>
      <c r="AF55" s="70">
        <f t="shared" si="1"/>
        <v>0</v>
      </c>
      <c r="BH55" s="148"/>
    </row>
    <row r="56" spans="1:60" ht="40.5" customHeight="1" hidden="1">
      <c r="A56" s="1">
        <v>1319</v>
      </c>
      <c r="B56" s="117" t="s">
        <v>393</v>
      </c>
      <c r="C56" s="118"/>
      <c r="D56" s="3"/>
      <c r="E56" s="68"/>
      <c r="F56" s="3"/>
      <c r="G56" s="68"/>
      <c r="H56" s="3">
        <f t="shared" si="5"/>
        <v>0</v>
      </c>
      <c r="I56" s="29"/>
      <c r="J56" s="29"/>
      <c r="K56" s="15"/>
      <c r="L56" s="15"/>
      <c r="M56" s="46"/>
      <c r="N56" s="46"/>
      <c r="O56" s="15"/>
      <c r="P56" s="15"/>
      <c r="Q56" s="54"/>
      <c r="R56" s="54"/>
      <c r="S56" s="15"/>
      <c r="T56" s="15"/>
      <c r="U56" s="65"/>
      <c r="V56" s="65"/>
      <c r="W56" s="15"/>
      <c r="X56" s="15"/>
      <c r="Y56" s="77"/>
      <c r="Z56" s="77"/>
      <c r="AA56" s="15"/>
      <c r="AB56" s="15"/>
      <c r="AC56" s="69">
        <f t="shared" si="3"/>
        <v>0</v>
      </c>
      <c r="AD56" s="69">
        <f t="shared" si="3"/>
        <v>0</v>
      </c>
      <c r="AE56" s="70"/>
      <c r="AF56" s="70">
        <f t="shared" si="1"/>
        <v>0</v>
      </c>
      <c r="BH56" s="148"/>
    </row>
    <row r="57" spans="1:60" ht="60.75" customHeight="1" hidden="1">
      <c r="A57" s="1">
        <v>1458</v>
      </c>
      <c r="B57" s="117" t="s">
        <v>287</v>
      </c>
      <c r="C57" s="118"/>
      <c r="D57" s="152"/>
      <c r="E57" s="153"/>
      <c r="F57" s="3"/>
      <c r="G57" s="68"/>
      <c r="H57" s="3">
        <f t="shared" si="5"/>
        <v>0</v>
      </c>
      <c r="I57" s="28">
        <v>561940</v>
      </c>
      <c r="J57" s="28"/>
      <c r="K57" s="15"/>
      <c r="L57" s="15"/>
      <c r="M57" s="46">
        <f>1613177</f>
        <v>1613177</v>
      </c>
      <c r="N57" s="47"/>
      <c r="O57" s="15"/>
      <c r="P57" s="15">
        <f>120621+81153</f>
        <v>201774</v>
      </c>
      <c r="Q57" s="54"/>
      <c r="R57" s="54"/>
      <c r="S57" s="15"/>
      <c r="T57" s="15"/>
      <c r="U57" s="65"/>
      <c r="V57" s="65"/>
      <c r="W57" s="15"/>
      <c r="X57" s="15"/>
      <c r="Y57" s="77">
        <v>253077</v>
      </c>
      <c r="Z57" s="77"/>
      <c r="AA57" s="15"/>
      <c r="AB57" s="15"/>
      <c r="AC57" s="69">
        <f t="shared" si="3"/>
        <v>2428194</v>
      </c>
      <c r="AD57" s="69">
        <f t="shared" si="3"/>
        <v>201774</v>
      </c>
      <c r="AE57" s="70"/>
      <c r="AF57" s="70">
        <f t="shared" si="1"/>
        <v>2226420</v>
      </c>
      <c r="BH57" s="148"/>
    </row>
    <row r="58" spans="1:60" ht="38.25" customHeight="1" hidden="1">
      <c r="A58" s="1">
        <v>1730</v>
      </c>
      <c r="B58" s="117" t="s">
        <v>93</v>
      </c>
      <c r="C58" s="118">
        <v>2793</v>
      </c>
      <c r="D58" s="152"/>
      <c r="E58" s="153"/>
      <c r="F58" s="3"/>
      <c r="G58" s="68"/>
      <c r="H58" s="3">
        <f t="shared" si="5"/>
        <v>2793</v>
      </c>
      <c r="I58" s="28"/>
      <c r="J58" s="28"/>
      <c r="K58" s="15"/>
      <c r="L58" s="15"/>
      <c r="M58" s="46"/>
      <c r="N58" s="47"/>
      <c r="O58" s="15"/>
      <c r="P58" s="15"/>
      <c r="Q58" s="54"/>
      <c r="R58" s="54"/>
      <c r="S58" s="15"/>
      <c r="T58" s="15">
        <v>2793</v>
      </c>
      <c r="U58" s="65"/>
      <c r="V58" s="65"/>
      <c r="W58" s="15"/>
      <c r="X58" s="15"/>
      <c r="Y58" s="77"/>
      <c r="Z58" s="77"/>
      <c r="AA58" s="15"/>
      <c r="AB58" s="15"/>
      <c r="AC58" s="69">
        <f t="shared" si="3"/>
        <v>0</v>
      </c>
      <c r="AD58" s="69">
        <f t="shared" si="3"/>
        <v>2793</v>
      </c>
      <c r="AE58" s="70"/>
      <c r="AF58" s="70">
        <f t="shared" si="1"/>
        <v>0</v>
      </c>
      <c r="BH58" s="148"/>
    </row>
    <row r="59" spans="1:60" ht="28.5" customHeight="1" hidden="1">
      <c r="A59" s="1">
        <v>1748</v>
      </c>
      <c r="B59" s="117" t="s">
        <v>288</v>
      </c>
      <c r="C59" s="123"/>
      <c r="D59" s="3"/>
      <c r="E59" s="68"/>
      <c r="F59" s="3"/>
      <c r="G59" s="68"/>
      <c r="H59" s="3">
        <f t="shared" si="5"/>
        <v>0</v>
      </c>
      <c r="I59" s="28">
        <v>2245</v>
      </c>
      <c r="J59" s="28"/>
      <c r="K59" s="15"/>
      <c r="L59" s="15"/>
      <c r="M59" s="46">
        <f>29598</f>
        <v>29598</v>
      </c>
      <c r="N59" s="47"/>
      <c r="O59" s="15"/>
      <c r="P59" s="15">
        <f>282+17</f>
        <v>299</v>
      </c>
      <c r="Q59" s="54"/>
      <c r="R59" s="54"/>
      <c r="S59" s="15"/>
      <c r="T59" s="15"/>
      <c r="U59" s="65"/>
      <c r="V59" s="65"/>
      <c r="W59" s="15"/>
      <c r="X59" s="15"/>
      <c r="Y59" s="77">
        <v>4451</v>
      </c>
      <c r="Z59" s="77"/>
      <c r="AA59" s="15"/>
      <c r="AB59" s="15"/>
      <c r="AC59" s="69">
        <f t="shared" si="3"/>
        <v>36294</v>
      </c>
      <c r="AD59" s="69">
        <f t="shared" si="3"/>
        <v>299</v>
      </c>
      <c r="AE59" s="70"/>
      <c r="AF59" s="70">
        <f t="shared" si="1"/>
        <v>35995</v>
      </c>
      <c r="BH59" s="148"/>
    </row>
    <row r="60" spans="1:60" ht="21.75" customHeight="1">
      <c r="A60" s="12"/>
      <c r="B60" s="117" t="s">
        <v>95</v>
      </c>
      <c r="C60" s="120">
        <f>174970531</f>
        <v>174970531</v>
      </c>
      <c r="D60" s="5">
        <f>SUM(D61:D67)</f>
        <v>0</v>
      </c>
      <c r="E60" s="67"/>
      <c r="F60" s="5">
        <f>SUM(F61:F67)</f>
        <v>0</v>
      </c>
      <c r="G60" s="67"/>
      <c r="H60" s="5">
        <f>SUM(H61:H67)</f>
        <v>174859393</v>
      </c>
      <c r="I60" s="41">
        <f>SUM(I61:I67)</f>
        <v>0</v>
      </c>
      <c r="J60" s="41"/>
      <c r="K60" s="17">
        <f aca="true" t="shared" si="6" ref="K60:AB60">SUM(K61:K67)</f>
        <v>0</v>
      </c>
      <c r="L60" s="17">
        <f t="shared" si="6"/>
        <v>0</v>
      </c>
      <c r="M60" s="17">
        <f t="shared" si="6"/>
        <v>1227615</v>
      </c>
      <c r="N60" s="17">
        <f t="shared" si="6"/>
        <v>0</v>
      </c>
      <c r="O60" s="17">
        <f t="shared" si="6"/>
        <v>0</v>
      </c>
      <c r="P60" s="17">
        <f t="shared" si="6"/>
        <v>139951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  <c r="X60" s="17">
        <f t="shared" si="6"/>
        <v>0</v>
      </c>
      <c r="Y60" s="7">
        <f t="shared" si="6"/>
        <v>1120</v>
      </c>
      <c r="Z60" s="7">
        <f t="shared" si="6"/>
        <v>0</v>
      </c>
      <c r="AA60" s="17">
        <f t="shared" si="6"/>
        <v>0</v>
      </c>
      <c r="AB60" s="17">
        <f t="shared" si="6"/>
        <v>0</v>
      </c>
      <c r="AC60" s="5">
        <f t="shared" si="3"/>
        <v>1228735</v>
      </c>
      <c r="AD60" s="5">
        <f t="shared" si="3"/>
        <v>139951</v>
      </c>
      <c r="AE60" s="17">
        <f>SUM(AE61:AE67)</f>
        <v>0</v>
      </c>
      <c r="AF60" s="5">
        <f t="shared" si="1"/>
        <v>175948177</v>
      </c>
      <c r="BH60" s="148">
        <v>25880260</v>
      </c>
    </row>
    <row r="61" spans="1:60" ht="28.5" customHeight="1" hidden="1">
      <c r="A61" s="1">
        <v>1201</v>
      </c>
      <c r="B61" s="117" t="s">
        <v>96</v>
      </c>
      <c r="C61" s="118">
        <v>174419009</v>
      </c>
      <c r="D61" s="3"/>
      <c r="E61" s="68"/>
      <c r="F61" s="3"/>
      <c r="G61" s="68"/>
      <c r="H61" s="3">
        <f aca="true" t="shared" si="7" ref="H61:H67">C61+D61-F61</f>
        <v>174419009</v>
      </c>
      <c r="I61" s="28"/>
      <c r="J61" s="28"/>
      <c r="K61" s="15"/>
      <c r="L61" s="15"/>
      <c r="M61" s="46">
        <v>1212123</v>
      </c>
      <c r="N61" s="150"/>
      <c r="O61" s="15"/>
      <c r="P61" s="19">
        <f>(54078-575)+420+85453</f>
        <v>139376</v>
      </c>
      <c r="Q61" s="54"/>
      <c r="R61" s="54"/>
      <c r="S61" s="15"/>
      <c r="T61" s="15"/>
      <c r="U61" s="65"/>
      <c r="V61" s="65"/>
      <c r="W61" s="15"/>
      <c r="X61" s="15"/>
      <c r="Y61" s="77">
        <v>334</v>
      </c>
      <c r="Z61" s="77"/>
      <c r="AA61" s="15"/>
      <c r="AB61" s="15"/>
      <c r="AC61" s="69">
        <f t="shared" si="3"/>
        <v>1212457</v>
      </c>
      <c r="AD61" s="69">
        <f t="shared" si="3"/>
        <v>139376</v>
      </c>
      <c r="AE61" s="70"/>
      <c r="AF61" s="70">
        <f t="shared" si="1"/>
        <v>175492090</v>
      </c>
      <c r="BH61" s="148"/>
    </row>
    <row r="62" spans="1:60" ht="28.5" customHeight="1" hidden="1">
      <c r="A62" s="1">
        <v>1205</v>
      </c>
      <c r="B62" s="117" t="s">
        <v>97</v>
      </c>
      <c r="C62" s="118">
        <v>-864937</v>
      </c>
      <c r="D62" s="3"/>
      <c r="E62" s="68"/>
      <c r="F62" s="3"/>
      <c r="G62" s="68"/>
      <c r="H62" s="3">
        <f t="shared" si="7"/>
        <v>-864937</v>
      </c>
      <c r="I62" s="28"/>
      <c r="J62" s="28"/>
      <c r="K62" s="15"/>
      <c r="L62" s="15"/>
      <c r="M62" s="46"/>
      <c r="N62" s="47"/>
      <c r="O62" s="15"/>
      <c r="P62" s="15"/>
      <c r="Q62" s="54"/>
      <c r="R62" s="54"/>
      <c r="S62" s="15"/>
      <c r="T62" s="15"/>
      <c r="U62" s="65"/>
      <c r="V62" s="65"/>
      <c r="W62" s="15"/>
      <c r="X62" s="15"/>
      <c r="Y62" s="77"/>
      <c r="Z62" s="77"/>
      <c r="AA62" s="15"/>
      <c r="AB62" s="15"/>
      <c r="AC62" s="69">
        <f t="shared" si="3"/>
        <v>0</v>
      </c>
      <c r="AD62" s="69">
        <f t="shared" si="3"/>
        <v>0</v>
      </c>
      <c r="AE62" s="70"/>
      <c r="AF62" s="70">
        <f t="shared" si="1"/>
        <v>-864937</v>
      </c>
      <c r="BH62" s="148"/>
    </row>
    <row r="63" spans="1:60" ht="28.5" customHeight="1" hidden="1">
      <c r="A63" s="1">
        <v>1206</v>
      </c>
      <c r="B63" s="117" t="s">
        <v>98</v>
      </c>
      <c r="C63" s="124">
        <v>518078</v>
      </c>
      <c r="D63" s="3"/>
      <c r="E63" s="68"/>
      <c r="F63" s="3"/>
      <c r="G63" s="68"/>
      <c r="H63" s="3">
        <f t="shared" si="7"/>
        <v>518078</v>
      </c>
      <c r="I63" s="28"/>
      <c r="J63" s="28"/>
      <c r="K63" s="15"/>
      <c r="L63" s="15"/>
      <c r="M63" s="46"/>
      <c r="N63" s="47"/>
      <c r="O63" s="15"/>
      <c r="P63" s="15"/>
      <c r="Q63" s="54"/>
      <c r="R63" s="54"/>
      <c r="S63" s="15"/>
      <c r="T63" s="15"/>
      <c r="U63" s="65"/>
      <c r="V63" s="65"/>
      <c r="W63" s="15"/>
      <c r="X63" s="15"/>
      <c r="Y63" s="77"/>
      <c r="Z63" s="77"/>
      <c r="AA63" s="15"/>
      <c r="AB63" s="15"/>
      <c r="AC63" s="69">
        <f t="shared" si="3"/>
        <v>0</v>
      </c>
      <c r="AD63" s="69">
        <f t="shared" si="3"/>
        <v>0</v>
      </c>
      <c r="AE63" s="70"/>
      <c r="AF63" s="70">
        <f t="shared" si="1"/>
        <v>518078</v>
      </c>
      <c r="BH63" s="148"/>
    </row>
    <row r="64" spans="1:60" ht="45" customHeight="1" hidden="1">
      <c r="A64" s="1">
        <v>1207</v>
      </c>
      <c r="B64" s="117" t="s">
        <v>102</v>
      </c>
      <c r="C64" s="118">
        <v>697968</v>
      </c>
      <c r="D64" s="3"/>
      <c r="E64" s="68"/>
      <c r="F64" s="3"/>
      <c r="G64" s="68"/>
      <c r="H64" s="3">
        <f t="shared" si="7"/>
        <v>697968</v>
      </c>
      <c r="I64" s="28"/>
      <c r="J64" s="28"/>
      <c r="K64" s="15"/>
      <c r="L64" s="15"/>
      <c r="M64" s="47"/>
      <c r="N64" s="47"/>
      <c r="O64" s="15"/>
      <c r="P64" s="15"/>
      <c r="Q64" s="54"/>
      <c r="R64" s="54"/>
      <c r="S64" s="15"/>
      <c r="T64" s="15"/>
      <c r="U64" s="65"/>
      <c r="V64" s="65"/>
      <c r="W64" s="15"/>
      <c r="X64" s="15"/>
      <c r="Y64" s="77"/>
      <c r="Z64" s="77"/>
      <c r="AA64" s="15"/>
      <c r="AB64" s="15"/>
      <c r="AC64" s="69">
        <f t="shared" si="3"/>
        <v>0</v>
      </c>
      <c r="AD64" s="69">
        <f t="shared" si="3"/>
        <v>0</v>
      </c>
      <c r="AE64" s="70"/>
      <c r="AF64" s="70">
        <f t="shared" si="1"/>
        <v>697968</v>
      </c>
      <c r="BH64" s="148"/>
    </row>
    <row r="65" spans="1:60" ht="39" customHeight="1" hidden="1">
      <c r="A65" s="1">
        <v>1208</v>
      </c>
      <c r="B65" s="117" t="s">
        <v>103</v>
      </c>
      <c r="C65" s="124">
        <v>597378</v>
      </c>
      <c r="D65" s="3"/>
      <c r="E65" s="68"/>
      <c r="F65" s="3"/>
      <c r="G65" s="68"/>
      <c r="H65" s="3">
        <f t="shared" si="7"/>
        <v>597378</v>
      </c>
      <c r="I65" s="28"/>
      <c r="J65" s="28"/>
      <c r="K65" s="15"/>
      <c r="L65" s="15"/>
      <c r="M65" s="46"/>
      <c r="N65" s="47"/>
      <c r="O65" s="15"/>
      <c r="P65" s="15"/>
      <c r="Q65" s="54"/>
      <c r="R65" s="54"/>
      <c r="S65" s="15"/>
      <c r="T65" s="15"/>
      <c r="U65" s="65"/>
      <c r="V65" s="65"/>
      <c r="W65" s="15"/>
      <c r="X65" s="15"/>
      <c r="Y65" s="77">
        <v>861</v>
      </c>
      <c r="Z65" s="77"/>
      <c r="AA65" s="15"/>
      <c r="AB65" s="15"/>
      <c r="AC65" s="69">
        <f t="shared" si="3"/>
        <v>861</v>
      </c>
      <c r="AD65" s="69">
        <f t="shared" si="3"/>
        <v>0</v>
      </c>
      <c r="AE65" s="70"/>
      <c r="AF65" s="70">
        <f t="shared" si="1"/>
        <v>598239</v>
      </c>
      <c r="BH65" s="148"/>
    </row>
    <row r="66" spans="1:60" ht="42" customHeight="1" hidden="1">
      <c r="A66" s="1">
        <v>1209</v>
      </c>
      <c r="B66" s="117" t="s">
        <v>104</v>
      </c>
      <c r="C66" s="118">
        <v>-1087147</v>
      </c>
      <c r="D66" s="3"/>
      <c r="E66" s="68"/>
      <c r="F66" s="3"/>
      <c r="G66" s="68"/>
      <c r="H66" s="3">
        <f t="shared" si="7"/>
        <v>-1087147</v>
      </c>
      <c r="I66" s="28"/>
      <c r="J66" s="28"/>
      <c r="K66" s="15"/>
      <c r="L66" s="15"/>
      <c r="M66" s="46"/>
      <c r="N66" s="47"/>
      <c r="O66" s="15"/>
      <c r="P66" s="15"/>
      <c r="Q66" s="54"/>
      <c r="R66" s="54"/>
      <c r="S66" s="15"/>
      <c r="T66" s="15"/>
      <c r="U66" s="65"/>
      <c r="V66" s="65"/>
      <c r="W66" s="15"/>
      <c r="X66" s="15"/>
      <c r="Y66" s="77">
        <v>-75</v>
      </c>
      <c r="Z66" s="77"/>
      <c r="AA66" s="15"/>
      <c r="AB66" s="15"/>
      <c r="AC66" s="69">
        <f t="shared" si="3"/>
        <v>-75</v>
      </c>
      <c r="AD66" s="69">
        <f t="shared" si="3"/>
        <v>0</v>
      </c>
      <c r="AE66" s="70"/>
      <c r="AF66" s="70">
        <f t="shared" si="1"/>
        <v>-1087222</v>
      </c>
      <c r="BH66" s="148"/>
    </row>
    <row r="67" spans="1:60" ht="28.5" customHeight="1" hidden="1">
      <c r="A67" s="1">
        <v>1744</v>
      </c>
      <c r="B67" s="117" t="s">
        <v>105</v>
      </c>
      <c r="C67" s="118">
        <v>579044</v>
      </c>
      <c r="D67" s="3"/>
      <c r="E67" s="68"/>
      <c r="F67" s="3"/>
      <c r="G67" s="68"/>
      <c r="H67" s="3">
        <f t="shared" si="7"/>
        <v>579044</v>
      </c>
      <c r="I67" s="28"/>
      <c r="J67" s="28"/>
      <c r="K67" s="15"/>
      <c r="L67" s="15"/>
      <c r="M67" s="46">
        <v>15492</v>
      </c>
      <c r="N67" s="47"/>
      <c r="O67" s="15"/>
      <c r="P67" s="15">
        <v>575</v>
      </c>
      <c r="Q67" s="54"/>
      <c r="R67" s="54"/>
      <c r="S67" s="15"/>
      <c r="T67" s="15"/>
      <c r="U67" s="65"/>
      <c r="V67" s="65"/>
      <c r="W67" s="15"/>
      <c r="X67" s="15"/>
      <c r="Y67" s="77"/>
      <c r="Z67" s="77"/>
      <c r="AA67" s="15"/>
      <c r="AB67" s="15"/>
      <c r="AC67" s="69">
        <f t="shared" si="3"/>
        <v>15492</v>
      </c>
      <c r="AD67" s="69">
        <f t="shared" si="3"/>
        <v>575</v>
      </c>
      <c r="AE67" s="70"/>
      <c r="AF67" s="70">
        <f t="shared" si="1"/>
        <v>593961</v>
      </c>
      <c r="BH67" s="148"/>
    </row>
    <row r="68" spans="1:60" ht="21" customHeight="1">
      <c r="A68" s="12"/>
      <c r="B68" s="117" t="s">
        <v>106</v>
      </c>
      <c r="C68" s="120">
        <f>529732409</f>
        <v>529732409</v>
      </c>
      <c r="D68" s="5">
        <f>SUM(D69:D92)</f>
        <v>72217</v>
      </c>
      <c r="E68" s="79"/>
      <c r="F68" s="5">
        <f>SUM(F69:F92)</f>
        <v>0</v>
      </c>
      <c r="G68" s="67"/>
      <c r="H68" s="5">
        <f>SUM(H69:H92)</f>
        <v>522941235</v>
      </c>
      <c r="I68" s="41">
        <f>SUM(I69:I92)</f>
        <v>5548931</v>
      </c>
      <c r="J68" s="41"/>
      <c r="K68" s="17">
        <f aca="true" t="shared" si="8" ref="K68:AB68">SUM(K69:K92)</f>
        <v>0</v>
      </c>
      <c r="L68" s="17">
        <f t="shared" si="8"/>
        <v>0</v>
      </c>
      <c r="M68" s="17">
        <f t="shared" si="8"/>
        <v>0</v>
      </c>
      <c r="N68" s="17">
        <f t="shared" si="8"/>
        <v>0</v>
      </c>
      <c r="O68" s="17">
        <f t="shared" si="8"/>
        <v>0</v>
      </c>
      <c r="P68" s="17">
        <f t="shared" si="8"/>
        <v>0</v>
      </c>
      <c r="Q68" s="17">
        <f t="shared" si="8"/>
        <v>3707048</v>
      </c>
      <c r="R68" s="17">
        <f t="shared" si="8"/>
        <v>0</v>
      </c>
      <c r="S68" s="17">
        <f t="shared" si="8"/>
        <v>0</v>
      </c>
      <c r="T68" s="17">
        <f t="shared" si="8"/>
        <v>0</v>
      </c>
      <c r="U68" s="17">
        <f t="shared" si="8"/>
        <v>0</v>
      </c>
      <c r="V68" s="17">
        <f t="shared" si="8"/>
        <v>0</v>
      </c>
      <c r="W68" s="17">
        <f t="shared" si="8"/>
        <v>0</v>
      </c>
      <c r="X68" s="17">
        <f t="shared" si="8"/>
        <v>0</v>
      </c>
      <c r="Y68" s="7">
        <f t="shared" si="8"/>
        <v>0</v>
      </c>
      <c r="Z68" s="7">
        <f t="shared" si="8"/>
        <v>0</v>
      </c>
      <c r="AA68" s="17">
        <f t="shared" si="8"/>
        <v>0</v>
      </c>
      <c r="AB68" s="17">
        <f t="shared" si="8"/>
        <v>0</v>
      </c>
      <c r="AC68" s="5">
        <f t="shared" si="3"/>
        <v>9255979</v>
      </c>
      <c r="AD68" s="5">
        <f t="shared" si="3"/>
        <v>0</v>
      </c>
      <c r="AE68" s="17">
        <f>SUM(AE69:AE92)</f>
        <v>0</v>
      </c>
      <c r="AF68" s="5">
        <f t="shared" si="1"/>
        <v>532197214</v>
      </c>
      <c r="BH68" s="148">
        <v>247810946</v>
      </c>
    </row>
    <row r="69" spans="1:60" s="138" customFormat="1" ht="44.25" customHeight="1" hidden="1">
      <c r="A69" s="1">
        <v>1321</v>
      </c>
      <c r="B69" s="154" t="s">
        <v>564</v>
      </c>
      <c r="C69" s="120">
        <v>346</v>
      </c>
      <c r="D69" s="3"/>
      <c r="E69" s="68"/>
      <c r="F69" s="3"/>
      <c r="G69" s="68"/>
      <c r="H69" s="3">
        <f aca="true" t="shared" si="9" ref="H69:H92">C69+D69-F69</f>
        <v>346</v>
      </c>
      <c r="I69" s="29"/>
      <c r="J69" s="29"/>
      <c r="K69" s="15"/>
      <c r="L69" s="15"/>
      <c r="M69" s="46"/>
      <c r="N69" s="46"/>
      <c r="O69" s="15"/>
      <c r="P69" s="15"/>
      <c r="Q69" s="54"/>
      <c r="R69" s="54"/>
      <c r="S69" s="15"/>
      <c r="T69" s="15"/>
      <c r="U69" s="65"/>
      <c r="V69" s="65"/>
      <c r="W69" s="15"/>
      <c r="X69" s="15"/>
      <c r="Y69" s="77"/>
      <c r="Z69" s="77"/>
      <c r="AA69" s="15"/>
      <c r="AB69" s="15"/>
      <c r="AC69" s="69">
        <f t="shared" si="3"/>
        <v>0</v>
      </c>
      <c r="AD69" s="69">
        <f t="shared" si="3"/>
        <v>0</v>
      </c>
      <c r="AE69" s="70"/>
      <c r="AF69" s="70">
        <f t="shared" si="1"/>
        <v>346</v>
      </c>
      <c r="BH69" s="119"/>
    </row>
    <row r="70" spans="1:60" ht="42.75" customHeight="1" hidden="1">
      <c r="A70" s="1">
        <v>1322</v>
      </c>
      <c r="B70" s="117" t="s">
        <v>107</v>
      </c>
      <c r="C70" s="118">
        <v>1355266</v>
      </c>
      <c r="D70" s="3"/>
      <c r="E70" s="68"/>
      <c r="F70" s="3"/>
      <c r="G70" s="68"/>
      <c r="H70" s="3">
        <f t="shared" si="9"/>
        <v>1355266</v>
      </c>
      <c r="I70" s="28"/>
      <c r="J70" s="28"/>
      <c r="K70" s="15"/>
      <c r="L70" s="15"/>
      <c r="M70" s="46"/>
      <c r="N70" s="47"/>
      <c r="O70" s="15"/>
      <c r="P70" s="15"/>
      <c r="Q70" s="54"/>
      <c r="R70" s="54"/>
      <c r="S70" s="15"/>
      <c r="T70" s="15"/>
      <c r="U70" s="65"/>
      <c r="V70" s="65"/>
      <c r="W70" s="15"/>
      <c r="X70" s="15"/>
      <c r="Y70" s="77"/>
      <c r="Z70" s="77"/>
      <c r="AA70" s="15"/>
      <c r="AB70" s="15"/>
      <c r="AC70" s="69">
        <f t="shared" si="3"/>
        <v>0</v>
      </c>
      <c r="AD70" s="69">
        <f t="shared" si="3"/>
        <v>0</v>
      </c>
      <c r="AE70" s="70"/>
      <c r="AF70" s="70">
        <f t="shared" si="1"/>
        <v>1355266</v>
      </c>
      <c r="BH70" s="148"/>
    </row>
    <row r="71" spans="1:60" ht="45" customHeight="1" hidden="1">
      <c r="A71" s="1">
        <v>1323</v>
      </c>
      <c r="B71" s="117" t="s">
        <v>108</v>
      </c>
      <c r="C71" s="118">
        <v>72500</v>
      </c>
      <c r="D71" s="3"/>
      <c r="E71" s="68"/>
      <c r="F71" s="3"/>
      <c r="G71" s="68"/>
      <c r="H71" s="3">
        <f t="shared" si="9"/>
        <v>72500</v>
      </c>
      <c r="I71" s="28"/>
      <c r="J71" s="28"/>
      <c r="K71" s="15"/>
      <c r="L71" s="15"/>
      <c r="M71" s="46"/>
      <c r="N71" s="47"/>
      <c r="O71" s="15"/>
      <c r="P71" s="15"/>
      <c r="Q71" s="54"/>
      <c r="R71" s="54"/>
      <c r="S71" s="15"/>
      <c r="T71" s="15"/>
      <c r="U71" s="65"/>
      <c r="V71" s="65"/>
      <c r="W71" s="15"/>
      <c r="X71" s="15"/>
      <c r="Y71" s="77"/>
      <c r="Z71" s="77"/>
      <c r="AA71" s="15"/>
      <c r="AB71" s="15"/>
      <c r="AC71" s="69">
        <f t="shared" si="3"/>
        <v>0</v>
      </c>
      <c r="AD71" s="69">
        <f t="shared" si="3"/>
        <v>0</v>
      </c>
      <c r="AE71" s="70"/>
      <c r="AF71" s="70">
        <f t="shared" si="1"/>
        <v>72500</v>
      </c>
      <c r="BH71" s="148"/>
    </row>
    <row r="72" spans="1:60" ht="45" customHeight="1" hidden="1">
      <c r="A72" s="1">
        <v>1327</v>
      </c>
      <c r="B72" s="117" t="s">
        <v>582</v>
      </c>
      <c r="C72" s="118"/>
      <c r="D72" s="3"/>
      <c r="E72" s="68"/>
      <c r="F72" s="3"/>
      <c r="G72" s="68"/>
      <c r="H72" s="3">
        <f t="shared" si="9"/>
        <v>0</v>
      </c>
      <c r="I72" s="28"/>
      <c r="J72" s="28"/>
      <c r="K72" s="15"/>
      <c r="L72" s="15"/>
      <c r="M72" s="46"/>
      <c r="N72" s="47"/>
      <c r="O72" s="15"/>
      <c r="P72" s="15"/>
      <c r="Q72" s="54"/>
      <c r="R72" s="54"/>
      <c r="S72" s="15"/>
      <c r="T72" s="15"/>
      <c r="U72" s="65"/>
      <c r="V72" s="65"/>
      <c r="W72" s="15"/>
      <c r="X72" s="15"/>
      <c r="Y72" s="77"/>
      <c r="Z72" s="77"/>
      <c r="AA72" s="15"/>
      <c r="AB72" s="15"/>
      <c r="AC72" s="69">
        <f aca="true" t="shared" si="10" ref="AC72:AD135">I72+K72+M72+O72+Q72+S72+U72+W72+Y72+AA72</f>
        <v>0</v>
      </c>
      <c r="AD72" s="69">
        <f t="shared" si="10"/>
        <v>0</v>
      </c>
      <c r="AE72" s="70"/>
      <c r="AF72" s="70">
        <f t="shared" si="1"/>
        <v>0</v>
      </c>
      <c r="BH72" s="148"/>
    </row>
    <row r="73" spans="1:60" ht="39.75" customHeight="1" hidden="1">
      <c r="A73" s="14">
        <v>1330</v>
      </c>
      <c r="B73" s="117" t="s">
        <v>591</v>
      </c>
      <c r="C73" s="118"/>
      <c r="D73" s="3"/>
      <c r="E73" s="68"/>
      <c r="F73" s="3"/>
      <c r="G73" s="68"/>
      <c r="H73" s="3">
        <f t="shared" si="9"/>
        <v>0</v>
      </c>
      <c r="I73" s="28"/>
      <c r="J73" s="28"/>
      <c r="K73" s="15"/>
      <c r="L73" s="15"/>
      <c r="M73" s="46"/>
      <c r="N73" s="47"/>
      <c r="O73" s="15"/>
      <c r="P73" s="15"/>
      <c r="Q73" s="54"/>
      <c r="R73" s="54"/>
      <c r="S73" s="15"/>
      <c r="T73" s="15"/>
      <c r="U73" s="65"/>
      <c r="V73" s="65"/>
      <c r="W73" s="15"/>
      <c r="X73" s="15"/>
      <c r="Y73" s="77"/>
      <c r="Z73" s="77"/>
      <c r="AA73" s="15"/>
      <c r="AB73" s="15"/>
      <c r="AC73" s="69">
        <f t="shared" si="10"/>
        <v>0</v>
      </c>
      <c r="AD73" s="69">
        <f t="shared" si="10"/>
        <v>0</v>
      </c>
      <c r="AE73" s="70"/>
      <c r="AF73" s="70">
        <f t="shared" si="1"/>
        <v>0</v>
      </c>
      <c r="BH73" s="148"/>
    </row>
    <row r="74" spans="1:60" ht="36.75" customHeight="1" hidden="1">
      <c r="A74" s="14">
        <v>1331</v>
      </c>
      <c r="B74" s="117" t="s">
        <v>592</v>
      </c>
      <c r="C74" s="118"/>
      <c r="D74" s="3"/>
      <c r="E74" s="68"/>
      <c r="F74" s="3"/>
      <c r="G74" s="68"/>
      <c r="H74" s="3">
        <f t="shared" si="9"/>
        <v>0</v>
      </c>
      <c r="I74" s="28"/>
      <c r="J74" s="28"/>
      <c r="K74" s="15"/>
      <c r="L74" s="15"/>
      <c r="M74" s="46"/>
      <c r="N74" s="47"/>
      <c r="O74" s="15"/>
      <c r="P74" s="15"/>
      <c r="Q74" s="54"/>
      <c r="R74" s="54"/>
      <c r="S74" s="15"/>
      <c r="T74" s="15"/>
      <c r="U74" s="65"/>
      <c r="V74" s="65"/>
      <c r="W74" s="15"/>
      <c r="X74" s="15"/>
      <c r="Y74" s="77"/>
      <c r="Z74" s="77"/>
      <c r="AA74" s="15"/>
      <c r="AB74" s="15"/>
      <c r="AC74" s="69">
        <f t="shared" si="10"/>
        <v>0</v>
      </c>
      <c r="AD74" s="69">
        <f t="shared" si="10"/>
        <v>0</v>
      </c>
      <c r="AE74" s="70"/>
      <c r="AF74" s="70">
        <f t="shared" si="1"/>
        <v>0</v>
      </c>
      <c r="BH74" s="148"/>
    </row>
    <row r="75" spans="1:60" ht="28.5" customHeight="1" hidden="1">
      <c r="A75" s="1">
        <v>1401</v>
      </c>
      <c r="B75" s="117" t="s">
        <v>109</v>
      </c>
      <c r="C75" s="118">
        <v>2560634</v>
      </c>
      <c r="D75" s="3"/>
      <c r="E75" s="68"/>
      <c r="F75" s="3"/>
      <c r="G75" s="68"/>
      <c r="H75" s="3">
        <f t="shared" si="9"/>
        <v>2560634</v>
      </c>
      <c r="I75" s="28">
        <v>46274</v>
      </c>
      <c r="J75" s="28"/>
      <c r="K75" s="15"/>
      <c r="L75" s="15"/>
      <c r="M75" s="46"/>
      <c r="N75" s="47"/>
      <c r="O75" s="15"/>
      <c r="P75" s="15"/>
      <c r="Q75" s="54">
        <v>6401</v>
      </c>
      <c r="R75" s="54"/>
      <c r="S75" s="15"/>
      <c r="T75" s="15"/>
      <c r="U75" s="65"/>
      <c r="V75" s="65"/>
      <c r="W75" s="15"/>
      <c r="X75" s="15"/>
      <c r="Y75" s="77"/>
      <c r="Z75" s="77"/>
      <c r="AA75" s="15"/>
      <c r="AB75" s="15"/>
      <c r="AC75" s="69">
        <f t="shared" si="10"/>
        <v>52675</v>
      </c>
      <c r="AD75" s="69">
        <f t="shared" si="10"/>
        <v>0</v>
      </c>
      <c r="AE75" s="70"/>
      <c r="AF75" s="70">
        <f t="shared" si="1"/>
        <v>2613309</v>
      </c>
      <c r="BH75" s="148"/>
    </row>
    <row r="76" spans="1:60" ht="28.5" customHeight="1" hidden="1">
      <c r="A76" s="1">
        <v>1403</v>
      </c>
      <c r="B76" s="117" t="s">
        <v>110</v>
      </c>
      <c r="C76" s="118">
        <v>116466</v>
      </c>
      <c r="D76" s="80">
        <v>72217</v>
      </c>
      <c r="E76" s="81" t="s">
        <v>249</v>
      </c>
      <c r="F76" s="82"/>
      <c r="G76" s="83"/>
      <c r="H76" s="3">
        <f t="shared" si="9"/>
        <v>188683</v>
      </c>
      <c r="I76" s="28"/>
      <c r="J76" s="28"/>
      <c r="K76" s="15"/>
      <c r="L76" s="15"/>
      <c r="M76" s="46"/>
      <c r="N76" s="47"/>
      <c r="O76" s="15"/>
      <c r="P76" s="15"/>
      <c r="Q76" s="54"/>
      <c r="R76" s="54"/>
      <c r="S76" s="15"/>
      <c r="T76" s="15"/>
      <c r="U76" s="65"/>
      <c r="V76" s="65"/>
      <c r="W76" s="15"/>
      <c r="X76" s="15"/>
      <c r="Y76" s="77"/>
      <c r="Z76" s="77"/>
      <c r="AA76" s="15"/>
      <c r="AB76" s="15"/>
      <c r="AC76" s="69">
        <f t="shared" si="10"/>
        <v>0</v>
      </c>
      <c r="AD76" s="69">
        <f t="shared" si="10"/>
        <v>0</v>
      </c>
      <c r="AE76" s="70"/>
      <c r="AF76" s="70">
        <f t="shared" si="1"/>
        <v>188683</v>
      </c>
      <c r="BH76" s="148"/>
    </row>
    <row r="77" spans="1:60" ht="28.5" customHeight="1" hidden="1">
      <c r="A77" s="1">
        <v>1407</v>
      </c>
      <c r="B77" s="117" t="s">
        <v>111</v>
      </c>
      <c r="C77" s="118">
        <v>316773</v>
      </c>
      <c r="D77" s="3"/>
      <c r="E77" s="68"/>
      <c r="F77" s="3"/>
      <c r="G77" s="68"/>
      <c r="H77" s="3">
        <f t="shared" si="9"/>
        <v>316773</v>
      </c>
      <c r="I77" s="28"/>
      <c r="J77" s="28"/>
      <c r="K77" s="15"/>
      <c r="L77" s="15"/>
      <c r="M77" s="46"/>
      <c r="N77" s="47"/>
      <c r="O77" s="15"/>
      <c r="P77" s="15"/>
      <c r="Q77" s="54"/>
      <c r="R77" s="54"/>
      <c r="S77" s="15"/>
      <c r="T77" s="15"/>
      <c r="U77" s="65"/>
      <c r="V77" s="65"/>
      <c r="W77" s="15"/>
      <c r="X77" s="15"/>
      <c r="Y77" s="77"/>
      <c r="Z77" s="77"/>
      <c r="AA77" s="15"/>
      <c r="AB77" s="15"/>
      <c r="AC77" s="69">
        <f t="shared" si="10"/>
        <v>0</v>
      </c>
      <c r="AD77" s="69">
        <f t="shared" si="10"/>
        <v>0</v>
      </c>
      <c r="AE77" s="70"/>
      <c r="AF77" s="70">
        <f t="shared" si="1"/>
        <v>316773</v>
      </c>
      <c r="BH77" s="148"/>
    </row>
    <row r="78" spans="1:60" ht="28.5" customHeight="1" hidden="1">
      <c r="A78" s="1">
        <v>1409</v>
      </c>
      <c r="B78" s="117" t="s">
        <v>566</v>
      </c>
      <c r="C78" s="118">
        <v>94413</v>
      </c>
      <c r="D78" s="3"/>
      <c r="E78" s="68"/>
      <c r="F78" s="3"/>
      <c r="G78" s="68"/>
      <c r="H78" s="3">
        <f t="shared" si="9"/>
        <v>94413</v>
      </c>
      <c r="I78" s="28">
        <v>0</v>
      </c>
      <c r="J78" s="28"/>
      <c r="K78" s="15"/>
      <c r="L78" s="15"/>
      <c r="M78" s="46"/>
      <c r="N78" s="47"/>
      <c r="O78" s="15"/>
      <c r="P78" s="15"/>
      <c r="Q78" s="54"/>
      <c r="R78" s="54"/>
      <c r="S78" s="15"/>
      <c r="T78" s="15"/>
      <c r="U78" s="65"/>
      <c r="V78" s="65"/>
      <c r="W78" s="15"/>
      <c r="X78" s="15"/>
      <c r="Y78" s="77"/>
      <c r="Z78" s="77"/>
      <c r="AA78" s="15"/>
      <c r="AB78" s="15"/>
      <c r="AC78" s="69">
        <f t="shared" si="10"/>
        <v>0</v>
      </c>
      <c r="AD78" s="69">
        <f t="shared" si="10"/>
        <v>0</v>
      </c>
      <c r="AE78" s="70"/>
      <c r="AF78" s="70">
        <f t="shared" si="1"/>
        <v>94413</v>
      </c>
      <c r="BH78" s="148"/>
    </row>
    <row r="79" spans="1:60" ht="28.5" customHeight="1" hidden="1">
      <c r="A79" s="1">
        <v>1411</v>
      </c>
      <c r="B79" s="117" t="s">
        <v>112</v>
      </c>
      <c r="C79" s="118">
        <v>132507599</v>
      </c>
      <c r="D79" s="84"/>
      <c r="E79" s="81"/>
      <c r="F79" s="82"/>
      <c r="G79" s="83"/>
      <c r="H79" s="3">
        <f t="shared" si="9"/>
        <v>132507599</v>
      </c>
      <c r="I79" s="28">
        <v>1181935</v>
      </c>
      <c r="J79" s="28"/>
      <c r="K79" s="15"/>
      <c r="L79" s="15"/>
      <c r="M79" s="46"/>
      <c r="N79" s="47"/>
      <c r="O79" s="15"/>
      <c r="P79" s="15"/>
      <c r="Q79" s="54">
        <v>1041173</v>
      </c>
      <c r="R79" s="54"/>
      <c r="S79" s="15"/>
      <c r="T79" s="15"/>
      <c r="U79" s="65"/>
      <c r="V79" s="65"/>
      <c r="W79" s="15"/>
      <c r="X79" s="15"/>
      <c r="Y79" s="77"/>
      <c r="Z79" s="77"/>
      <c r="AA79" s="15"/>
      <c r="AB79" s="15"/>
      <c r="AC79" s="69">
        <f t="shared" si="10"/>
        <v>2223108</v>
      </c>
      <c r="AD79" s="69">
        <f t="shared" si="10"/>
        <v>0</v>
      </c>
      <c r="AE79" s="70"/>
      <c r="AF79" s="70">
        <f t="shared" si="1"/>
        <v>134730707</v>
      </c>
      <c r="BH79" s="148"/>
    </row>
    <row r="80" spans="1:60" ht="28.5" customHeight="1" hidden="1">
      <c r="A80" s="1">
        <v>1417</v>
      </c>
      <c r="B80" s="117" t="s">
        <v>113</v>
      </c>
      <c r="C80" s="118">
        <v>370987177</v>
      </c>
      <c r="D80" s="82"/>
      <c r="E80" s="83"/>
      <c r="F80" s="82"/>
      <c r="G80" s="83"/>
      <c r="H80" s="3">
        <f t="shared" si="9"/>
        <v>370987177</v>
      </c>
      <c r="I80" s="28">
        <v>4244681</v>
      </c>
      <c r="J80" s="28"/>
      <c r="K80" s="15"/>
      <c r="L80" s="15"/>
      <c r="M80" s="46"/>
      <c r="N80" s="47"/>
      <c r="O80" s="15"/>
      <c r="P80" s="15"/>
      <c r="Q80" s="54">
        <v>2659474</v>
      </c>
      <c r="R80" s="54"/>
      <c r="S80" s="15"/>
      <c r="T80" s="15"/>
      <c r="U80" s="65"/>
      <c r="V80" s="65"/>
      <c r="W80" s="15"/>
      <c r="X80" s="15"/>
      <c r="Y80" s="77"/>
      <c r="Z80" s="77"/>
      <c r="AA80" s="15"/>
      <c r="AB80" s="15"/>
      <c r="AC80" s="69">
        <f t="shared" si="10"/>
        <v>6904155</v>
      </c>
      <c r="AD80" s="69">
        <f t="shared" si="10"/>
        <v>0</v>
      </c>
      <c r="AE80" s="70"/>
      <c r="AF80" s="70">
        <f t="shared" si="1"/>
        <v>377891332</v>
      </c>
      <c r="BH80" s="148"/>
    </row>
    <row r="81" spans="1:60" ht="28.5" customHeight="1" hidden="1">
      <c r="A81" s="1">
        <v>1420</v>
      </c>
      <c r="B81" s="117" t="s">
        <v>114</v>
      </c>
      <c r="C81" s="118"/>
      <c r="D81" s="3"/>
      <c r="E81" s="68"/>
      <c r="F81" s="3"/>
      <c r="G81" s="68"/>
      <c r="H81" s="3">
        <f t="shared" si="9"/>
        <v>0</v>
      </c>
      <c r="I81" s="28"/>
      <c r="J81" s="28"/>
      <c r="K81" s="15"/>
      <c r="L81" s="15"/>
      <c r="M81" s="46"/>
      <c r="N81" s="47"/>
      <c r="O81" s="15"/>
      <c r="P81" s="15"/>
      <c r="Q81" s="54"/>
      <c r="R81" s="54"/>
      <c r="S81" s="15"/>
      <c r="T81" s="15"/>
      <c r="U81" s="65"/>
      <c r="V81" s="65"/>
      <c r="W81" s="15"/>
      <c r="X81" s="15"/>
      <c r="Y81" s="77"/>
      <c r="Z81" s="77"/>
      <c r="AA81" s="15"/>
      <c r="AB81" s="15"/>
      <c r="AC81" s="69">
        <f t="shared" si="10"/>
        <v>0</v>
      </c>
      <c r="AD81" s="69">
        <f t="shared" si="10"/>
        <v>0</v>
      </c>
      <c r="AE81" s="70"/>
      <c r="AF81" s="70">
        <f aca="true" t="shared" si="11" ref="AF81:AF151">H81+AC81-AD81</f>
        <v>0</v>
      </c>
      <c r="BH81" s="148"/>
    </row>
    <row r="82" spans="1:60" ht="28.5" customHeight="1" hidden="1">
      <c r="A82" s="1">
        <v>1424</v>
      </c>
      <c r="B82" s="117" t="s">
        <v>115</v>
      </c>
      <c r="C82" s="118">
        <v>2645023</v>
      </c>
      <c r="D82" s="152"/>
      <c r="E82" s="153"/>
      <c r="F82" s="3"/>
      <c r="G82" s="68"/>
      <c r="H82" s="3">
        <f t="shared" si="9"/>
        <v>2645023</v>
      </c>
      <c r="I82" s="28">
        <v>18224</v>
      </c>
      <c r="J82" s="28"/>
      <c r="K82" s="15"/>
      <c r="L82" s="15"/>
      <c r="M82" s="46"/>
      <c r="N82" s="47"/>
      <c r="O82" s="15"/>
      <c r="P82" s="15"/>
      <c r="Q82" s="54"/>
      <c r="R82" s="54"/>
      <c r="S82" s="15"/>
      <c r="T82" s="15"/>
      <c r="U82" s="65"/>
      <c r="V82" s="65"/>
      <c r="W82" s="15"/>
      <c r="X82" s="15"/>
      <c r="Y82" s="77"/>
      <c r="Z82" s="77"/>
      <c r="AA82" s="15"/>
      <c r="AB82" s="15"/>
      <c r="AC82" s="69">
        <f t="shared" si="10"/>
        <v>18224</v>
      </c>
      <c r="AD82" s="69">
        <f t="shared" si="10"/>
        <v>0</v>
      </c>
      <c r="AE82" s="70"/>
      <c r="AF82" s="70">
        <f t="shared" si="11"/>
        <v>2663247</v>
      </c>
      <c r="BH82" s="148"/>
    </row>
    <row r="83" spans="1:60" ht="28.5" customHeight="1" hidden="1">
      <c r="A83" s="14">
        <v>1434</v>
      </c>
      <c r="B83" s="117" t="s">
        <v>593</v>
      </c>
      <c r="C83" s="118">
        <v>-1527</v>
      </c>
      <c r="D83" s="152"/>
      <c r="E83" s="153"/>
      <c r="F83" s="3"/>
      <c r="G83" s="68"/>
      <c r="H83" s="3">
        <f t="shared" si="9"/>
        <v>-1527</v>
      </c>
      <c r="I83" s="28">
        <v>-174</v>
      </c>
      <c r="J83" s="28"/>
      <c r="K83" s="15"/>
      <c r="L83" s="15"/>
      <c r="M83" s="46"/>
      <c r="N83" s="47"/>
      <c r="O83" s="15"/>
      <c r="P83" s="15"/>
      <c r="Q83" s="54"/>
      <c r="R83" s="54"/>
      <c r="S83" s="15"/>
      <c r="T83" s="15"/>
      <c r="U83" s="65"/>
      <c r="V83" s="65"/>
      <c r="W83" s="15"/>
      <c r="X83" s="15"/>
      <c r="Y83" s="77"/>
      <c r="Z83" s="77"/>
      <c r="AA83" s="15"/>
      <c r="AB83" s="15"/>
      <c r="AC83" s="69">
        <f t="shared" si="10"/>
        <v>-174</v>
      </c>
      <c r="AD83" s="69">
        <f t="shared" si="10"/>
        <v>0</v>
      </c>
      <c r="AE83" s="70"/>
      <c r="AF83" s="70">
        <f t="shared" si="11"/>
        <v>-1701</v>
      </c>
      <c r="BH83" s="148"/>
    </row>
    <row r="84" spans="1:60" ht="28.5" customHeight="1" hidden="1">
      <c r="A84" s="14">
        <v>1435</v>
      </c>
      <c r="B84" s="117" t="s">
        <v>594</v>
      </c>
      <c r="C84" s="118"/>
      <c r="D84" s="152"/>
      <c r="E84" s="153"/>
      <c r="F84" s="3"/>
      <c r="G84" s="68"/>
      <c r="H84" s="3">
        <f t="shared" si="9"/>
        <v>0</v>
      </c>
      <c r="I84" s="28"/>
      <c r="J84" s="28"/>
      <c r="K84" s="15"/>
      <c r="L84" s="15"/>
      <c r="M84" s="46"/>
      <c r="N84" s="47"/>
      <c r="O84" s="15"/>
      <c r="P84" s="15"/>
      <c r="Q84" s="54"/>
      <c r="R84" s="54"/>
      <c r="S84" s="15"/>
      <c r="T84" s="15"/>
      <c r="U84" s="65"/>
      <c r="V84" s="65"/>
      <c r="W84" s="15"/>
      <c r="X84" s="15"/>
      <c r="Y84" s="77"/>
      <c r="Z84" s="77"/>
      <c r="AA84" s="15"/>
      <c r="AB84" s="15"/>
      <c r="AC84" s="69">
        <f t="shared" si="10"/>
        <v>0</v>
      </c>
      <c r="AD84" s="69">
        <f t="shared" si="10"/>
        <v>0</v>
      </c>
      <c r="AE84" s="70"/>
      <c r="AF84" s="70">
        <f t="shared" si="11"/>
        <v>0</v>
      </c>
      <c r="BH84" s="148"/>
    </row>
    <row r="85" spans="1:60" ht="50.25" customHeight="1" hidden="1">
      <c r="A85" s="1">
        <v>1733</v>
      </c>
      <c r="B85" s="117" t="s">
        <v>116</v>
      </c>
      <c r="C85" s="124">
        <v>41363</v>
      </c>
      <c r="D85" s="3"/>
      <c r="E85" s="68"/>
      <c r="F85" s="3"/>
      <c r="G85" s="68"/>
      <c r="H85" s="3">
        <f t="shared" si="9"/>
        <v>41363</v>
      </c>
      <c r="I85" s="28"/>
      <c r="J85" s="28"/>
      <c r="K85" s="15"/>
      <c r="L85" s="15"/>
      <c r="M85" s="46"/>
      <c r="N85" s="47"/>
      <c r="O85" s="15"/>
      <c r="P85" s="15"/>
      <c r="Q85" s="54"/>
      <c r="R85" s="54"/>
      <c r="S85" s="15"/>
      <c r="T85" s="15"/>
      <c r="U85" s="65"/>
      <c r="V85" s="65"/>
      <c r="W85" s="15"/>
      <c r="X85" s="15"/>
      <c r="Y85" s="77"/>
      <c r="Z85" s="77"/>
      <c r="AA85" s="15"/>
      <c r="AB85" s="15"/>
      <c r="AC85" s="69">
        <f t="shared" si="10"/>
        <v>0</v>
      </c>
      <c r="AD85" s="69">
        <f t="shared" si="10"/>
        <v>0</v>
      </c>
      <c r="AE85" s="70"/>
      <c r="AF85" s="70">
        <f t="shared" si="11"/>
        <v>41363</v>
      </c>
      <c r="BH85" s="148"/>
    </row>
    <row r="86" spans="1:60" ht="50.25" customHeight="1" hidden="1">
      <c r="A86" s="1">
        <v>1734</v>
      </c>
      <c r="B86" s="117"/>
      <c r="C86" s="118"/>
      <c r="D86" s="3"/>
      <c r="E86" s="68"/>
      <c r="F86" s="3"/>
      <c r="G86" s="68"/>
      <c r="H86" s="3">
        <f t="shared" si="9"/>
        <v>0</v>
      </c>
      <c r="I86" s="28"/>
      <c r="J86" s="28"/>
      <c r="K86" s="15"/>
      <c r="L86" s="15"/>
      <c r="M86" s="46"/>
      <c r="N86" s="47"/>
      <c r="O86" s="15"/>
      <c r="P86" s="15"/>
      <c r="Q86" s="54"/>
      <c r="R86" s="54"/>
      <c r="S86" s="15"/>
      <c r="T86" s="15"/>
      <c r="U86" s="65"/>
      <c r="V86" s="65"/>
      <c r="W86" s="15"/>
      <c r="X86" s="15"/>
      <c r="Y86" s="77"/>
      <c r="Z86" s="77"/>
      <c r="AA86" s="15"/>
      <c r="AB86" s="15"/>
      <c r="AC86" s="69">
        <f t="shared" si="10"/>
        <v>0</v>
      </c>
      <c r="AD86" s="69">
        <f t="shared" si="10"/>
        <v>0</v>
      </c>
      <c r="AE86" s="70"/>
      <c r="AF86" s="70">
        <f t="shared" si="11"/>
        <v>0</v>
      </c>
      <c r="BH86" s="148"/>
    </row>
    <row r="87" spans="1:60" ht="40.5" customHeight="1" hidden="1">
      <c r="A87" s="1">
        <v>1740</v>
      </c>
      <c r="B87" s="117" t="s">
        <v>117</v>
      </c>
      <c r="C87" s="124">
        <v>11631296</v>
      </c>
      <c r="D87" s="3"/>
      <c r="E87" s="68"/>
      <c r="F87" s="3"/>
      <c r="G87" s="68"/>
      <c r="H87" s="3">
        <f t="shared" si="9"/>
        <v>11631296</v>
      </c>
      <c r="I87" s="28">
        <v>57991</v>
      </c>
      <c r="J87" s="28"/>
      <c r="K87" s="15"/>
      <c r="L87" s="15"/>
      <c r="M87" s="46"/>
      <c r="N87" s="47"/>
      <c r="O87" s="15"/>
      <c r="P87" s="15"/>
      <c r="Q87" s="54"/>
      <c r="R87" s="54"/>
      <c r="S87" s="15"/>
      <c r="T87" s="15"/>
      <c r="U87" s="65"/>
      <c r="V87" s="65"/>
      <c r="W87" s="15"/>
      <c r="X87" s="15"/>
      <c r="Y87" s="77"/>
      <c r="Z87" s="77"/>
      <c r="AA87" s="15"/>
      <c r="AB87" s="15"/>
      <c r="AC87" s="69">
        <f t="shared" si="10"/>
        <v>57991</v>
      </c>
      <c r="AD87" s="69">
        <f t="shared" si="10"/>
        <v>0</v>
      </c>
      <c r="AE87" s="70"/>
      <c r="AF87" s="70">
        <f t="shared" si="11"/>
        <v>11689287</v>
      </c>
      <c r="BH87" s="148"/>
    </row>
    <row r="88" spans="1:60" ht="40.5" customHeight="1" hidden="1">
      <c r="A88" s="1">
        <v>1741</v>
      </c>
      <c r="B88" s="117" t="s">
        <v>118</v>
      </c>
      <c r="C88" s="118">
        <v>537939</v>
      </c>
      <c r="D88" s="3"/>
      <c r="E88" s="68"/>
      <c r="F88" s="3"/>
      <c r="G88" s="68"/>
      <c r="H88" s="3">
        <f t="shared" si="9"/>
        <v>537939</v>
      </c>
      <c r="I88" s="28"/>
      <c r="J88" s="28"/>
      <c r="K88" s="15"/>
      <c r="L88" s="15"/>
      <c r="M88" s="46"/>
      <c r="N88" s="47"/>
      <c r="O88" s="15"/>
      <c r="P88" s="15"/>
      <c r="Q88" s="54">
        <v>0</v>
      </c>
      <c r="R88" s="54"/>
      <c r="S88" s="15"/>
      <c r="T88" s="15"/>
      <c r="U88" s="65"/>
      <c r="V88" s="65"/>
      <c r="W88" s="15"/>
      <c r="X88" s="15"/>
      <c r="Y88" s="77"/>
      <c r="Z88" s="77"/>
      <c r="AA88" s="15"/>
      <c r="AB88" s="15"/>
      <c r="AC88" s="69">
        <f t="shared" si="10"/>
        <v>0</v>
      </c>
      <c r="AD88" s="69">
        <f t="shared" si="10"/>
        <v>0</v>
      </c>
      <c r="AE88" s="70"/>
      <c r="AF88" s="70">
        <f t="shared" si="11"/>
        <v>537939</v>
      </c>
      <c r="BH88" s="148"/>
    </row>
    <row r="89" spans="1:60" ht="36" customHeight="1" hidden="1">
      <c r="A89" s="1">
        <v>1824</v>
      </c>
      <c r="B89" s="117" t="s">
        <v>595</v>
      </c>
      <c r="C89" s="118">
        <v>154</v>
      </c>
      <c r="D89" s="3"/>
      <c r="E89" s="68"/>
      <c r="F89" s="3"/>
      <c r="G89" s="68"/>
      <c r="H89" s="3">
        <f t="shared" si="9"/>
        <v>154</v>
      </c>
      <c r="I89" s="28"/>
      <c r="J89" s="28"/>
      <c r="K89" s="15"/>
      <c r="L89" s="15"/>
      <c r="M89" s="46"/>
      <c r="N89" s="47"/>
      <c r="O89" s="15"/>
      <c r="P89" s="15"/>
      <c r="Q89" s="54"/>
      <c r="R89" s="54"/>
      <c r="S89" s="15"/>
      <c r="T89" s="15"/>
      <c r="U89" s="65"/>
      <c r="V89" s="65"/>
      <c r="W89" s="15"/>
      <c r="X89" s="15"/>
      <c r="Y89" s="77"/>
      <c r="Z89" s="77"/>
      <c r="AA89" s="15"/>
      <c r="AB89" s="15"/>
      <c r="AC89" s="69">
        <f t="shared" si="10"/>
        <v>0</v>
      </c>
      <c r="AD89" s="69">
        <f t="shared" si="10"/>
        <v>0</v>
      </c>
      <c r="AE89" s="70"/>
      <c r="AF89" s="70">
        <f t="shared" si="11"/>
        <v>154</v>
      </c>
      <c r="BH89" s="148"/>
    </row>
    <row r="90" spans="1:60" ht="40.5" customHeight="1" hidden="1">
      <c r="A90" s="1">
        <v>1844</v>
      </c>
      <c r="B90" s="117" t="s">
        <v>66</v>
      </c>
      <c r="C90" s="118">
        <v>763</v>
      </c>
      <c r="D90" s="3"/>
      <c r="E90" s="68"/>
      <c r="F90" s="3"/>
      <c r="G90" s="68"/>
      <c r="H90" s="3">
        <f t="shared" si="9"/>
        <v>763</v>
      </c>
      <c r="I90" s="28"/>
      <c r="J90" s="28"/>
      <c r="K90" s="15"/>
      <c r="L90" s="15"/>
      <c r="M90" s="46"/>
      <c r="N90" s="47"/>
      <c r="O90" s="15"/>
      <c r="P90" s="15"/>
      <c r="Q90" s="54"/>
      <c r="R90" s="54"/>
      <c r="S90" s="15"/>
      <c r="T90" s="15"/>
      <c r="U90" s="65"/>
      <c r="V90" s="65"/>
      <c r="W90" s="15"/>
      <c r="X90" s="15"/>
      <c r="Y90" s="77"/>
      <c r="Z90" s="77"/>
      <c r="AA90" s="15"/>
      <c r="AB90" s="15"/>
      <c r="AC90" s="69">
        <f t="shared" si="10"/>
        <v>0</v>
      </c>
      <c r="AD90" s="69">
        <f t="shared" si="10"/>
        <v>0</v>
      </c>
      <c r="AE90" s="70"/>
      <c r="AF90" s="70">
        <f t="shared" si="11"/>
        <v>763</v>
      </c>
      <c r="BH90" s="148"/>
    </row>
    <row r="91" spans="1:60" ht="40.5" customHeight="1" hidden="1">
      <c r="A91" s="1">
        <v>1855</v>
      </c>
      <c r="B91" s="117" t="s">
        <v>94</v>
      </c>
      <c r="C91" s="118"/>
      <c r="D91" s="3"/>
      <c r="E91" s="68"/>
      <c r="F91" s="3"/>
      <c r="G91" s="68"/>
      <c r="H91" s="3">
        <f>C91+D91-F91</f>
        <v>0</v>
      </c>
      <c r="I91" s="28"/>
      <c r="J91" s="28"/>
      <c r="K91" s="15"/>
      <c r="L91" s="15"/>
      <c r="M91" s="46"/>
      <c r="N91" s="47"/>
      <c r="O91" s="15"/>
      <c r="P91" s="15"/>
      <c r="Q91" s="54"/>
      <c r="R91" s="54"/>
      <c r="S91" s="15"/>
      <c r="T91" s="15"/>
      <c r="U91" s="65"/>
      <c r="V91" s="65"/>
      <c r="W91" s="15"/>
      <c r="X91" s="15"/>
      <c r="Y91" s="77"/>
      <c r="Z91" s="77"/>
      <c r="AA91" s="15"/>
      <c r="AB91" s="15"/>
      <c r="AC91" s="69">
        <f t="shared" si="10"/>
        <v>0</v>
      </c>
      <c r="AD91" s="69">
        <f t="shared" si="10"/>
        <v>0</v>
      </c>
      <c r="AE91" s="70"/>
      <c r="AF91" s="70">
        <f>H91+AC91-AD91</f>
        <v>0</v>
      </c>
      <c r="BH91" s="148"/>
    </row>
    <row r="92" spans="1:60" ht="28.5" customHeight="1" hidden="1">
      <c r="A92" s="14">
        <v>1879</v>
      </c>
      <c r="B92" s="117" t="s">
        <v>600</v>
      </c>
      <c r="C92" s="118">
        <v>2833</v>
      </c>
      <c r="D92" s="3"/>
      <c r="E92" s="68"/>
      <c r="F92" s="3"/>
      <c r="G92" s="68"/>
      <c r="H92" s="3">
        <f t="shared" si="9"/>
        <v>2833</v>
      </c>
      <c r="I92" s="28"/>
      <c r="J92" s="28"/>
      <c r="K92" s="15"/>
      <c r="L92" s="15"/>
      <c r="M92" s="46"/>
      <c r="N92" s="47"/>
      <c r="O92" s="15"/>
      <c r="P92" s="15"/>
      <c r="Q92" s="54"/>
      <c r="R92" s="54"/>
      <c r="S92" s="15"/>
      <c r="T92" s="15"/>
      <c r="U92" s="65"/>
      <c r="V92" s="65"/>
      <c r="W92" s="15"/>
      <c r="X92" s="15"/>
      <c r="Y92" s="77"/>
      <c r="Z92" s="77"/>
      <c r="AA92" s="15"/>
      <c r="AB92" s="15"/>
      <c r="AC92" s="69">
        <f t="shared" si="10"/>
        <v>0</v>
      </c>
      <c r="AD92" s="69">
        <f t="shared" si="10"/>
        <v>0</v>
      </c>
      <c r="AE92" s="70"/>
      <c r="AF92" s="70">
        <f t="shared" si="11"/>
        <v>2833</v>
      </c>
      <c r="BH92" s="148"/>
    </row>
    <row r="93" spans="1:60" ht="22.5" customHeight="1">
      <c r="A93" s="12"/>
      <c r="B93" s="117" t="s">
        <v>119</v>
      </c>
      <c r="C93" s="120">
        <f>-13066484</f>
        <v>-13066484</v>
      </c>
      <c r="D93" s="5">
        <f>SUM(D94:D96)</f>
        <v>0</v>
      </c>
      <c r="E93" s="67"/>
      <c r="F93" s="5">
        <f>SUM(F94:F96)</f>
        <v>0</v>
      </c>
      <c r="G93" s="67"/>
      <c r="H93" s="5">
        <f aca="true" t="shared" si="12" ref="H93:AB93">SUM(H94:H96)</f>
        <v>-12284898</v>
      </c>
      <c r="I93" s="5">
        <f t="shared" si="12"/>
        <v>-237266</v>
      </c>
      <c r="J93" s="5">
        <f t="shared" si="12"/>
        <v>0</v>
      </c>
      <c r="K93" s="5">
        <f t="shared" si="12"/>
        <v>0</v>
      </c>
      <c r="L93" s="5">
        <f t="shared" si="12"/>
        <v>0</v>
      </c>
      <c r="M93" s="5">
        <f t="shared" si="12"/>
        <v>0</v>
      </c>
      <c r="N93" s="5">
        <f t="shared" si="12"/>
        <v>0</v>
      </c>
      <c r="O93" s="5">
        <f t="shared" si="12"/>
        <v>0</v>
      </c>
      <c r="P93" s="5">
        <f t="shared" si="12"/>
        <v>0</v>
      </c>
      <c r="Q93" s="5">
        <f t="shared" si="12"/>
        <v>-18533</v>
      </c>
      <c r="R93" s="5">
        <f t="shared" si="12"/>
        <v>0</v>
      </c>
      <c r="S93" s="5">
        <f t="shared" si="12"/>
        <v>0</v>
      </c>
      <c r="T93" s="5">
        <f t="shared" si="12"/>
        <v>0</v>
      </c>
      <c r="U93" s="5">
        <f t="shared" si="12"/>
        <v>0</v>
      </c>
      <c r="V93" s="5">
        <f t="shared" si="12"/>
        <v>0</v>
      </c>
      <c r="W93" s="5">
        <f t="shared" si="12"/>
        <v>0</v>
      </c>
      <c r="X93" s="5">
        <f t="shared" si="12"/>
        <v>0</v>
      </c>
      <c r="Y93" s="7">
        <f t="shared" si="12"/>
        <v>0</v>
      </c>
      <c r="Z93" s="7">
        <f t="shared" si="12"/>
        <v>0</v>
      </c>
      <c r="AA93" s="5">
        <f t="shared" si="12"/>
        <v>0</v>
      </c>
      <c r="AB93" s="5">
        <f t="shared" si="12"/>
        <v>0</v>
      </c>
      <c r="AC93" s="5">
        <f t="shared" si="10"/>
        <v>-255799</v>
      </c>
      <c r="AD93" s="5">
        <f t="shared" si="10"/>
        <v>0</v>
      </c>
      <c r="AE93" s="5">
        <f>SUM(AE94:AE96)</f>
        <v>0</v>
      </c>
      <c r="AF93" s="5">
        <f t="shared" si="11"/>
        <v>-12540697</v>
      </c>
      <c r="BH93" s="148">
        <v>-6788602</v>
      </c>
    </row>
    <row r="94" spans="1:60" ht="60.75" customHeight="1" hidden="1">
      <c r="A94" s="1">
        <v>1329</v>
      </c>
      <c r="B94" s="117" t="s">
        <v>351</v>
      </c>
      <c r="C94" s="118"/>
      <c r="D94" s="3"/>
      <c r="E94" s="68"/>
      <c r="F94" s="3"/>
      <c r="G94" s="68"/>
      <c r="H94" s="3">
        <f>C94+D94-F94</f>
        <v>0</v>
      </c>
      <c r="I94" s="28"/>
      <c r="J94" s="28"/>
      <c r="K94" s="15"/>
      <c r="L94" s="15"/>
      <c r="M94" s="46"/>
      <c r="N94" s="47"/>
      <c r="O94" s="15"/>
      <c r="P94" s="15"/>
      <c r="Q94" s="54"/>
      <c r="R94" s="54"/>
      <c r="S94" s="15"/>
      <c r="T94" s="15"/>
      <c r="U94" s="65"/>
      <c r="V94" s="65"/>
      <c r="W94" s="15"/>
      <c r="X94" s="15"/>
      <c r="Y94" s="77"/>
      <c r="Z94" s="77"/>
      <c r="AA94" s="15"/>
      <c r="AB94" s="15"/>
      <c r="AC94" s="69">
        <f t="shared" si="10"/>
        <v>0</v>
      </c>
      <c r="AD94" s="69">
        <f t="shared" si="10"/>
        <v>0</v>
      </c>
      <c r="AE94" s="70"/>
      <c r="AF94" s="70">
        <f t="shared" si="11"/>
        <v>0</v>
      </c>
      <c r="BH94" s="148"/>
    </row>
    <row r="95" spans="1:60" ht="44.25" customHeight="1" hidden="1">
      <c r="A95" s="1">
        <v>1428</v>
      </c>
      <c r="B95" s="117" t="s">
        <v>124</v>
      </c>
      <c r="C95" s="118">
        <v>-12284898</v>
      </c>
      <c r="D95" s="3"/>
      <c r="E95" s="68"/>
      <c r="F95" s="3"/>
      <c r="G95" s="68"/>
      <c r="H95" s="3">
        <f>C95+D95-F95</f>
        <v>-12284898</v>
      </c>
      <c r="I95" s="28">
        <v>-237266</v>
      </c>
      <c r="J95" s="28"/>
      <c r="K95" s="15"/>
      <c r="L95" s="15"/>
      <c r="M95" s="46"/>
      <c r="N95" s="47"/>
      <c r="O95" s="15"/>
      <c r="P95" s="15"/>
      <c r="Q95" s="54">
        <v>-18533</v>
      </c>
      <c r="R95" s="54"/>
      <c r="S95" s="15"/>
      <c r="T95" s="15"/>
      <c r="U95" s="65"/>
      <c r="V95" s="65"/>
      <c r="W95" s="15"/>
      <c r="X95" s="15"/>
      <c r="Y95" s="77"/>
      <c r="Z95" s="77"/>
      <c r="AA95" s="15"/>
      <c r="AB95" s="15"/>
      <c r="AC95" s="69">
        <f t="shared" si="10"/>
        <v>-255799</v>
      </c>
      <c r="AD95" s="69">
        <f t="shared" si="10"/>
        <v>0</v>
      </c>
      <c r="AE95" s="70"/>
      <c r="AF95" s="70">
        <f t="shared" si="11"/>
        <v>-12540697</v>
      </c>
      <c r="BH95" s="148"/>
    </row>
    <row r="96" spans="1:60" ht="33.75" customHeight="1" hidden="1">
      <c r="A96" s="1">
        <v>1465</v>
      </c>
      <c r="B96" s="117" t="s">
        <v>125</v>
      </c>
      <c r="C96" s="118"/>
      <c r="D96" s="3"/>
      <c r="E96" s="68"/>
      <c r="F96" s="3"/>
      <c r="G96" s="68"/>
      <c r="H96" s="3">
        <f>C96+D96-F96</f>
        <v>0</v>
      </c>
      <c r="I96" s="28"/>
      <c r="J96" s="28"/>
      <c r="K96" s="15"/>
      <c r="L96" s="15"/>
      <c r="M96" s="46"/>
      <c r="N96" s="47"/>
      <c r="O96" s="15"/>
      <c r="P96" s="15"/>
      <c r="Q96" s="54"/>
      <c r="R96" s="54"/>
      <c r="S96" s="15"/>
      <c r="T96" s="15"/>
      <c r="U96" s="65"/>
      <c r="V96" s="65"/>
      <c r="W96" s="15"/>
      <c r="X96" s="15"/>
      <c r="Y96" s="77"/>
      <c r="Z96" s="77"/>
      <c r="AA96" s="15"/>
      <c r="AB96" s="15"/>
      <c r="AC96" s="69">
        <f t="shared" si="10"/>
        <v>0</v>
      </c>
      <c r="AD96" s="69">
        <f t="shared" si="10"/>
        <v>0</v>
      </c>
      <c r="AE96" s="70"/>
      <c r="AF96" s="70">
        <f t="shared" si="11"/>
        <v>0</v>
      </c>
      <c r="BH96" s="148"/>
    </row>
    <row r="97" spans="1:60" ht="21" customHeight="1">
      <c r="A97" s="12"/>
      <c r="B97" s="117" t="s">
        <v>126</v>
      </c>
      <c r="C97" s="120">
        <f>27989183</f>
        <v>27989183</v>
      </c>
      <c r="D97" s="5">
        <f>SUM(D98:D107)</f>
        <v>0</v>
      </c>
      <c r="E97" s="67"/>
      <c r="F97" s="5">
        <f>SUM(F98:F107)</f>
        <v>0</v>
      </c>
      <c r="G97" s="67"/>
      <c r="H97" s="5">
        <f>SUM(H98:H107)</f>
        <v>28009520</v>
      </c>
      <c r="I97" s="5">
        <f>SUM(I98:I107)</f>
        <v>327161</v>
      </c>
      <c r="J97" s="36"/>
      <c r="K97" s="5">
        <f aca="true" t="shared" si="13" ref="K97:AB97">SUM(K98:K107)</f>
        <v>0</v>
      </c>
      <c r="L97" s="5">
        <f t="shared" si="13"/>
        <v>0</v>
      </c>
      <c r="M97" s="5">
        <f t="shared" si="13"/>
        <v>0</v>
      </c>
      <c r="N97" s="5">
        <f t="shared" si="13"/>
        <v>0</v>
      </c>
      <c r="O97" s="5">
        <f t="shared" si="13"/>
        <v>0</v>
      </c>
      <c r="P97" s="5">
        <f t="shared" si="13"/>
        <v>0</v>
      </c>
      <c r="Q97" s="5">
        <f t="shared" si="13"/>
        <v>499212</v>
      </c>
      <c r="R97" s="5">
        <f t="shared" si="13"/>
        <v>0</v>
      </c>
      <c r="S97" s="5">
        <f t="shared" si="13"/>
        <v>0</v>
      </c>
      <c r="T97" s="5">
        <f t="shared" si="13"/>
        <v>0</v>
      </c>
      <c r="U97" s="5">
        <f t="shared" si="13"/>
        <v>0</v>
      </c>
      <c r="V97" s="5">
        <f t="shared" si="13"/>
        <v>0</v>
      </c>
      <c r="W97" s="5">
        <f t="shared" si="13"/>
        <v>0</v>
      </c>
      <c r="X97" s="5">
        <f t="shared" si="13"/>
        <v>0</v>
      </c>
      <c r="Y97" s="7">
        <f t="shared" si="13"/>
        <v>335999</v>
      </c>
      <c r="Z97" s="7">
        <f t="shared" si="13"/>
        <v>0</v>
      </c>
      <c r="AA97" s="5">
        <f t="shared" si="13"/>
        <v>0</v>
      </c>
      <c r="AB97" s="5">
        <f t="shared" si="13"/>
        <v>0</v>
      </c>
      <c r="AC97" s="5">
        <f t="shared" si="10"/>
        <v>1162372</v>
      </c>
      <c r="AD97" s="5">
        <f t="shared" si="10"/>
        <v>0</v>
      </c>
      <c r="AE97" s="5">
        <f>SUM(AE98:AE107)</f>
        <v>0</v>
      </c>
      <c r="AF97" s="5">
        <f>SUM(AF98:AF107)</f>
        <v>29171892</v>
      </c>
      <c r="BH97" s="148">
        <v>32282836</v>
      </c>
    </row>
    <row r="98" spans="1:60" ht="28.5" customHeight="1" hidden="1">
      <c r="A98" s="1">
        <v>1451</v>
      </c>
      <c r="B98" s="117" t="s">
        <v>127</v>
      </c>
      <c r="C98" s="118"/>
      <c r="D98" s="3"/>
      <c r="E98" s="68"/>
      <c r="F98" s="3"/>
      <c r="G98" s="68"/>
      <c r="H98" s="3">
        <f aca="true" t="shared" si="14" ref="H98:H107">C98+D98-F98</f>
        <v>0</v>
      </c>
      <c r="I98" s="28"/>
      <c r="J98" s="28"/>
      <c r="K98" s="15"/>
      <c r="L98" s="15"/>
      <c r="M98" s="46">
        <v>0</v>
      </c>
      <c r="N98" s="150"/>
      <c r="O98" s="15"/>
      <c r="P98" s="15"/>
      <c r="Q98" s="54">
        <v>215941</v>
      </c>
      <c r="R98" s="54"/>
      <c r="S98" s="15"/>
      <c r="T98" s="15"/>
      <c r="U98" s="65"/>
      <c r="V98" s="65"/>
      <c r="W98" s="15"/>
      <c r="X98" s="15"/>
      <c r="Y98" s="77"/>
      <c r="Z98" s="77"/>
      <c r="AA98" s="15"/>
      <c r="AB98" s="15"/>
      <c r="AC98" s="69">
        <f t="shared" si="10"/>
        <v>215941</v>
      </c>
      <c r="AD98" s="69">
        <f t="shared" si="10"/>
        <v>0</v>
      </c>
      <c r="AE98" s="70"/>
      <c r="AF98" s="70">
        <f t="shared" si="11"/>
        <v>215941</v>
      </c>
      <c r="BH98" s="148"/>
    </row>
    <row r="99" spans="1:60" ht="28.5" customHeight="1" hidden="1">
      <c r="A99" s="1">
        <v>1452</v>
      </c>
      <c r="B99" s="117" t="s">
        <v>128</v>
      </c>
      <c r="C99" s="118">
        <v>27554389</v>
      </c>
      <c r="D99" s="3"/>
      <c r="E99" s="68"/>
      <c r="F99" s="3"/>
      <c r="G99" s="68"/>
      <c r="H99" s="3">
        <f t="shared" si="14"/>
        <v>27554389</v>
      </c>
      <c r="I99" s="28">
        <v>358032</v>
      </c>
      <c r="J99" s="28"/>
      <c r="K99" s="15"/>
      <c r="L99" s="15"/>
      <c r="M99" s="46">
        <v>0</v>
      </c>
      <c r="N99" s="47"/>
      <c r="O99" s="15"/>
      <c r="P99" s="15"/>
      <c r="Q99" s="54">
        <v>283271</v>
      </c>
      <c r="R99" s="54"/>
      <c r="S99" s="15"/>
      <c r="T99" s="15"/>
      <c r="U99" s="65"/>
      <c r="V99" s="65"/>
      <c r="W99" s="15"/>
      <c r="X99" s="15"/>
      <c r="Y99" s="77">
        <f>292828+29728</f>
        <v>322556</v>
      </c>
      <c r="Z99" s="77"/>
      <c r="AA99" s="15"/>
      <c r="AB99" s="15"/>
      <c r="AC99" s="69">
        <f t="shared" si="10"/>
        <v>963859</v>
      </c>
      <c r="AD99" s="69">
        <f t="shared" si="10"/>
        <v>0</v>
      </c>
      <c r="AE99" s="70"/>
      <c r="AF99" s="70">
        <f t="shared" si="11"/>
        <v>28518248</v>
      </c>
      <c r="BH99" s="148"/>
    </row>
    <row r="100" spans="1:60" ht="28.5" customHeight="1" hidden="1">
      <c r="A100" s="1">
        <v>1453</v>
      </c>
      <c r="B100" s="117" t="s">
        <v>129</v>
      </c>
      <c r="C100" s="118">
        <v>-166541</v>
      </c>
      <c r="D100" s="3"/>
      <c r="E100" s="68"/>
      <c r="F100" s="3"/>
      <c r="G100" s="68"/>
      <c r="H100" s="3">
        <f t="shared" si="14"/>
        <v>-166541</v>
      </c>
      <c r="I100" s="28">
        <v>-35833</v>
      </c>
      <c r="J100" s="28"/>
      <c r="K100" s="15"/>
      <c r="L100" s="15"/>
      <c r="M100" s="46"/>
      <c r="N100" s="47"/>
      <c r="O100" s="15"/>
      <c r="P100" s="15"/>
      <c r="Q100" s="54"/>
      <c r="R100" s="54"/>
      <c r="S100" s="15"/>
      <c r="T100" s="15"/>
      <c r="U100" s="65"/>
      <c r="V100" s="65"/>
      <c r="W100" s="15"/>
      <c r="X100" s="15"/>
      <c r="Y100" s="77">
        <v>-1023</v>
      </c>
      <c r="Z100" s="77"/>
      <c r="AA100" s="15"/>
      <c r="AB100" s="15"/>
      <c r="AC100" s="69">
        <f t="shared" si="10"/>
        <v>-36856</v>
      </c>
      <c r="AD100" s="69">
        <f t="shared" si="10"/>
        <v>0</v>
      </c>
      <c r="AE100" s="70"/>
      <c r="AF100" s="70">
        <f t="shared" si="11"/>
        <v>-203397</v>
      </c>
      <c r="BH100" s="148"/>
    </row>
    <row r="101" spans="1:60" ht="28.5" customHeight="1" hidden="1">
      <c r="A101" s="1">
        <v>1454</v>
      </c>
      <c r="B101" s="117" t="s">
        <v>130</v>
      </c>
      <c r="C101" s="118">
        <v>260092</v>
      </c>
      <c r="D101" s="3"/>
      <c r="E101" s="68"/>
      <c r="F101" s="3"/>
      <c r="G101" s="68"/>
      <c r="H101" s="3">
        <f t="shared" si="14"/>
        <v>260092</v>
      </c>
      <c r="I101" s="28"/>
      <c r="J101" s="28"/>
      <c r="K101" s="15"/>
      <c r="L101" s="15"/>
      <c r="M101" s="46"/>
      <c r="N101" s="47"/>
      <c r="O101" s="15"/>
      <c r="P101" s="15"/>
      <c r="Q101" s="54">
        <v>0</v>
      </c>
      <c r="R101" s="54"/>
      <c r="S101" s="15"/>
      <c r="T101" s="15"/>
      <c r="U101" s="65"/>
      <c r="V101" s="65"/>
      <c r="W101" s="15"/>
      <c r="X101" s="15"/>
      <c r="Y101" s="77">
        <v>1877</v>
      </c>
      <c r="Z101" s="77"/>
      <c r="AA101" s="15"/>
      <c r="AB101" s="15"/>
      <c r="AC101" s="69">
        <f t="shared" si="10"/>
        <v>1877</v>
      </c>
      <c r="AD101" s="69">
        <f t="shared" si="10"/>
        <v>0</v>
      </c>
      <c r="AE101" s="70"/>
      <c r="AF101" s="70">
        <f t="shared" si="11"/>
        <v>261969</v>
      </c>
      <c r="BH101" s="148"/>
    </row>
    <row r="102" spans="1:60" ht="41.25" customHeight="1" hidden="1">
      <c r="A102" s="1">
        <v>1455</v>
      </c>
      <c r="B102" s="117" t="s">
        <v>131</v>
      </c>
      <c r="C102" s="118">
        <v>69405</v>
      </c>
      <c r="D102" s="3"/>
      <c r="E102" s="68"/>
      <c r="F102" s="3"/>
      <c r="G102" s="68"/>
      <c r="H102" s="3">
        <f t="shared" si="14"/>
        <v>69405</v>
      </c>
      <c r="I102" s="28"/>
      <c r="J102" s="28"/>
      <c r="K102" s="15"/>
      <c r="L102" s="15"/>
      <c r="M102" s="46"/>
      <c r="N102" s="47"/>
      <c r="O102" s="15"/>
      <c r="P102" s="15"/>
      <c r="Q102" s="54"/>
      <c r="R102" s="54"/>
      <c r="S102" s="15"/>
      <c r="T102" s="15"/>
      <c r="U102" s="65"/>
      <c r="V102" s="65"/>
      <c r="W102" s="15"/>
      <c r="X102" s="15"/>
      <c r="Y102" s="77"/>
      <c r="Z102" s="77"/>
      <c r="AA102" s="15"/>
      <c r="AB102" s="15"/>
      <c r="AC102" s="69">
        <f t="shared" si="10"/>
        <v>0</v>
      </c>
      <c r="AD102" s="69">
        <f t="shared" si="10"/>
        <v>0</v>
      </c>
      <c r="AE102" s="70"/>
      <c r="AF102" s="70">
        <f t="shared" si="11"/>
        <v>69405</v>
      </c>
      <c r="BH102" s="148"/>
    </row>
    <row r="103" spans="1:60" ht="39" customHeight="1" hidden="1">
      <c r="A103" s="1">
        <v>1456</v>
      </c>
      <c r="B103" s="117" t="s">
        <v>132</v>
      </c>
      <c r="C103" s="118">
        <v>728408</v>
      </c>
      <c r="D103" s="3"/>
      <c r="E103" s="68"/>
      <c r="F103" s="3"/>
      <c r="G103" s="68"/>
      <c r="H103" s="3">
        <f t="shared" si="14"/>
        <v>728408</v>
      </c>
      <c r="I103" s="28"/>
      <c r="J103" s="28"/>
      <c r="K103" s="15"/>
      <c r="L103" s="15"/>
      <c r="M103" s="46"/>
      <c r="N103" s="47"/>
      <c r="O103" s="15"/>
      <c r="P103" s="15"/>
      <c r="Q103" s="54"/>
      <c r="R103" s="54"/>
      <c r="S103" s="15"/>
      <c r="T103" s="15"/>
      <c r="U103" s="65"/>
      <c r="V103" s="65"/>
      <c r="W103" s="15"/>
      <c r="X103" s="15"/>
      <c r="Y103" s="77">
        <v>36239</v>
      </c>
      <c r="Z103" s="77"/>
      <c r="AA103" s="15"/>
      <c r="AB103" s="15"/>
      <c r="AC103" s="69">
        <f t="shared" si="10"/>
        <v>36239</v>
      </c>
      <c r="AD103" s="69">
        <f t="shared" si="10"/>
        <v>0</v>
      </c>
      <c r="AE103" s="70"/>
      <c r="AF103" s="70">
        <f t="shared" si="11"/>
        <v>764647</v>
      </c>
      <c r="BH103" s="148"/>
    </row>
    <row r="104" spans="1:60" ht="36" customHeight="1" hidden="1">
      <c r="A104" s="1">
        <v>1457</v>
      </c>
      <c r="B104" s="117" t="s">
        <v>133</v>
      </c>
      <c r="C104" s="120">
        <v>-874675</v>
      </c>
      <c r="D104" s="3"/>
      <c r="E104" s="68"/>
      <c r="F104" s="3"/>
      <c r="G104" s="68"/>
      <c r="H104" s="3">
        <f t="shared" si="14"/>
        <v>-874675</v>
      </c>
      <c r="I104" s="28">
        <v>4962</v>
      </c>
      <c r="J104" s="28"/>
      <c r="K104" s="15"/>
      <c r="L104" s="15"/>
      <c r="M104" s="46"/>
      <c r="N104" s="47"/>
      <c r="O104" s="15"/>
      <c r="P104" s="15"/>
      <c r="Q104" s="54"/>
      <c r="R104" s="54"/>
      <c r="S104" s="15"/>
      <c r="T104" s="15"/>
      <c r="U104" s="65"/>
      <c r="V104" s="65"/>
      <c r="W104" s="15"/>
      <c r="X104" s="15"/>
      <c r="Y104" s="77">
        <v>-29746</v>
      </c>
      <c r="Z104" s="77"/>
      <c r="AA104" s="15"/>
      <c r="AB104" s="15"/>
      <c r="AC104" s="69">
        <f t="shared" si="10"/>
        <v>-24784</v>
      </c>
      <c r="AD104" s="69">
        <f t="shared" si="10"/>
        <v>0</v>
      </c>
      <c r="AE104" s="70"/>
      <c r="AF104" s="70">
        <f t="shared" si="11"/>
        <v>-899459</v>
      </c>
      <c r="BH104" s="148"/>
    </row>
    <row r="105" spans="1:60" ht="28.5" customHeight="1" hidden="1">
      <c r="A105" s="1">
        <v>1745</v>
      </c>
      <c r="B105" s="117" t="s">
        <v>134</v>
      </c>
      <c r="C105" s="118"/>
      <c r="D105" s="3"/>
      <c r="E105" s="68"/>
      <c r="F105" s="3"/>
      <c r="G105" s="68"/>
      <c r="H105" s="3">
        <f t="shared" si="14"/>
        <v>0</v>
      </c>
      <c r="I105" s="28"/>
      <c r="J105" s="28"/>
      <c r="K105" s="15"/>
      <c r="L105" s="15"/>
      <c r="M105" s="50">
        <v>0</v>
      </c>
      <c r="N105" s="47"/>
      <c r="O105" s="15"/>
      <c r="P105" s="15"/>
      <c r="Q105" s="54"/>
      <c r="R105" s="54"/>
      <c r="S105" s="15"/>
      <c r="T105" s="15"/>
      <c r="U105" s="65"/>
      <c r="V105" s="65"/>
      <c r="W105" s="15"/>
      <c r="X105" s="15"/>
      <c r="Y105" s="77"/>
      <c r="Z105" s="77"/>
      <c r="AA105" s="15"/>
      <c r="AB105" s="15"/>
      <c r="AC105" s="69">
        <f t="shared" si="10"/>
        <v>0</v>
      </c>
      <c r="AD105" s="69">
        <f t="shared" si="10"/>
        <v>0</v>
      </c>
      <c r="AE105" s="70"/>
      <c r="AF105" s="70">
        <f t="shared" si="11"/>
        <v>0</v>
      </c>
      <c r="BH105" s="148"/>
    </row>
    <row r="106" spans="1:60" ht="28.5" customHeight="1" hidden="1">
      <c r="A106" s="1">
        <v>1746</v>
      </c>
      <c r="B106" s="117" t="s">
        <v>135</v>
      </c>
      <c r="C106" s="118">
        <v>438442</v>
      </c>
      <c r="D106" s="3"/>
      <c r="E106" s="68"/>
      <c r="F106" s="3"/>
      <c r="G106" s="68"/>
      <c r="H106" s="3">
        <f t="shared" si="14"/>
        <v>438442</v>
      </c>
      <c r="I106" s="28"/>
      <c r="J106" s="28"/>
      <c r="K106" s="15"/>
      <c r="L106" s="15"/>
      <c r="M106" s="46">
        <v>0</v>
      </c>
      <c r="N106" s="47"/>
      <c r="O106" s="15"/>
      <c r="P106" s="15"/>
      <c r="Q106" s="54"/>
      <c r="R106" s="54"/>
      <c r="S106" s="15"/>
      <c r="T106" s="15"/>
      <c r="U106" s="65"/>
      <c r="V106" s="65"/>
      <c r="W106" s="15"/>
      <c r="X106" s="15"/>
      <c r="Y106" s="77">
        <f>5674+422</f>
        <v>6096</v>
      </c>
      <c r="Z106" s="77"/>
      <c r="AA106" s="15"/>
      <c r="AB106" s="15"/>
      <c r="AC106" s="69">
        <f t="shared" si="10"/>
        <v>6096</v>
      </c>
      <c r="AD106" s="69">
        <f t="shared" si="10"/>
        <v>0</v>
      </c>
      <c r="AE106" s="70"/>
      <c r="AF106" s="70">
        <f t="shared" si="11"/>
        <v>444538</v>
      </c>
      <c r="BH106" s="148"/>
    </row>
    <row r="107" spans="1:60" ht="28.5" customHeight="1" hidden="1">
      <c r="A107" s="1">
        <v>1749</v>
      </c>
      <c r="B107" s="117" t="s">
        <v>547</v>
      </c>
      <c r="C107" s="118"/>
      <c r="D107" s="3"/>
      <c r="E107" s="68"/>
      <c r="F107" s="3"/>
      <c r="G107" s="68"/>
      <c r="H107" s="3">
        <f t="shared" si="14"/>
        <v>0</v>
      </c>
      <c r="I107" s="28"/>
      <c r="J107" s="28"/>
      <c r="K107" s="15"/>
      <c r="L107" s="15"/>
      <c r="M107" s="46"/>
      <c r="N107" s="47"/>
      <c r="O107" s="15"/>
      <c r="P107" s="15"/>
      <c r="Q107" s="54"/>
      <c r="R107" s="54"/>
      <c r="S107" s="15"/>
      <c r="T107" s="15"/>
      <c r="U107" s="65"/>
      <c r="V107" s="65"/>
      <c r="W107" s="15"/>
      <c r="X107" s="15"/>
      <c r="Y107" s="77"/>
      <c r="Z107" s="77"/>
      <c r="AA107" s="15"/>
      <c r="AB107" s="15"/>
      <c r="AC107" s="69">
        <f t="shared" si="10"/>
        <v>0</v>
      </c>
      <c r="AD107" s="69">
        <f t="shared" si="10"/>
        <v>0</v>
      </c>
      <c r="AE107" s="70"/>
      <c r="AF107" s="70">
        <f t="shared" si="11"/>
        <v>0</v>
      </c>
      <c r="BH107" s="148"/>
    </row>
    <row r="108" spans="1:60" ht="20.25" customHeight="1">
      <c r="A108" s="12"/>
      <c r="B108" s="117" t="s">
        <v>136</v>
      </c>
      <c r="C108" s="120">
        <f>12571504</f>
        <v>12571504</v>
      </c>
      <c r="D108" s="5">
        <f>SUM(D109:D119)</f>
        <v>0</v>
      </c>
      <c r="E108" s="67"/>
      <c r="F108" s="5">
        <f>SUM(F109:F119)</f>
        <v>0</v>
      </c>
      <c r="G108" s="67"/>
      <c r="H108" s="5">
        <f>SUM(H109:H119)</f>
        <v>11515700</v>
      </c>
      <c r="I108" s="36">
        <f>SUM(I109:I119)</f>
        <v>540445</v>
      </c>
      <c r="J108" s="36"/>
      <c r="K108" s="17">
        <f>SUM(K109:K119)</f>
        <v>0</v>
      </c>
      <c r="L108" s="17">
        <f>SUM(L109:L119)</f>
        <v>0</v>
      </c>
      <c r="M108" s="17">
        <f>SUM(M110:M119)</f>
        <v>39738</v>
      </c>
      <c r="N108" s="17">
        <f aca="true" t="shared" si="15" ref="N108:AB108">SUM(N109:N119)</f>
        <v>0</v>
      </c>
      <c r="O108" s="17">
        <f t="shared" si="15"/>
        <v>0</v>
      </c>
      <c r="P108" s="17">
        <f t="shared" si="15"/>
        <v>0</v>
      </c>
      <c r="Q108" s="17">
        <f t="shared" si="15"/>
        <v>73312</v>
      </c>
      <c r="R108" s="17">
        <f t="shared" si="15"/>
        <v>0</v>
      </c>
      <c r="S108" s="17">
        <f t="shared" si="15"/>
        <v>0</v>
      </c>
      <c r="T108" s="17">
        <f t="shared" si="15"/>
        <v>0</v>
      </c>
      <c r="U108" s="17">
        <f t="shared" si="15"/>
        <v>0</v>
      </c>
      <c r="V108" s="17">
        <f t="shared" si="15"/>
        <v>0</v>
      </c>
      <c r="W108" s="17">
        <f t="shared" si="15"/>
        <v>0</v>
      </c>
      <c r="X108" s="17">
        <f t="shared" si="15"/>
        <v>0</v>
      </c>
      <c r="Y108" s="7">
        <f t="shared" si="15"/>
        <v>28334</v>
      </c>
      <c r="Z108" s="7">
        <f t="shared" si="15"/>
        <v>0</v>
      </c>
      <c r="AA108" s="17">
        <f t="shared" si="15"/>
        <v>0</v>
      </c>
      <c r="AB108" s="17">
        <f t="shared" si="15"/>
        <v>0</v>
      </c>
      <c r="AC108" s="5">
        <f t="shared" si="10"/>
        <v>681829</v>
      </c>
      <c r="AD108" s="5">
        <f t="shared" si="10"/>
        <v>0</v>
      </c>
      <c r="AE108" s="17">
        <f>SUM(AE109:AE119)</f>
        <v>0</v>
      </c>
      <c r="AF108" s="5">
        <f t="shared" si="11"/>
        <v>12197529</v>
      </c>
      <c r="BH108" s="148">
        <v>4955230</v>
      </c>
    </row>
    <row r="109" spans="1:60" ht="28.5" customHeight="1" hidden="1">
      <c r="A109" s="1">
        <v>1651</v>
      </c>
      <c r="B109" s="117" t="s">
        <v>527</v>
      </c>
      <c r="C109" s="118">
        <v>890166</v>
      </c>
      <c r="D109" s="3"/>
      <c r="E109" s="68"/>
      <c r="F109" s="3"/>
      <c r="G109" s="68"/>
      <c r="H109" s="3">
        <f aca="true" t="shared" si="16" ref="H109:H119">C109+D109-F109</f>
        <v>890166</v>
      </c>
      <c r="I109" s="29"/>
      <c r="J109" s="29"/>
      <c r="K109" s="15"/>
      <c r="L109" s="15"/>
      <c r="M109" s="46"/>
      <c r="N109" s="46"/>
      <c r="O109" s="15"/>
      <c r="P109" s="15"/>
      <c r="Q109" s="54"/>
      <c r="R109" s="54"/>
      <c r="S109" s="15"/>
      <c r="T109" s="15"/>
      <c r="U109" s="65"/>
      <c r="V109" s="65"/>
      <c r="W109" s="15"/>
      <c r="X109" s="15"/>
      <c r="Y109" s="77"/>
      <c r="Z109" s="77"/>
      <c r="AA109" s="15"/>
      <c r="AB109" s="15"/>
      <c r="AC109" s="69">
        <f t="shared" si="10"/>
        <v>0</v>
      </c>
      <c r="AD109" s="69">
        <f t="shared" si="10"/>
        <v>0</v>
      </c>
      <c r="AE109" s="70"/>
      <c r="AF109" s="70">
        <f t="shared" si="11"/>
        <v>890166</v>
      </c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BH109" s="148"/>
    </row>
    <row r="110" spans="1:60" ht="28.5" customHeight="1" hidden="1">
      <c r="A110" s="1">
        <v>1652</v>
      </c>
      <c r="B110" s="117" t="s">
        <v>137</v>
      </c>
      <c r="C110" s="118">
        <v>7952473</v>
      </c>
      <c r="D110" s="3"/>
      <c r="E110" s="68"/>
      <c r="F110" s="3"/>
      <c r="G110" s="68"/>
      <c r="H110" s="3">
        <f t="shared" si="16"/>
        <v>7952473</v>
      </c>
      <c r="I110" s="28">
        <v>417500</v>
      </c>
      <c r="J110" s="28"/>
      <c r="K110" s="15"/>
      <c r="L110" s="15"/>
      <c r="M110" s="46">
        <v>1</v>
      </c>
      <c r="N110" s="47"/>
      <c r="O110" s="15"/>
      <c r="P110" s="15"/>
      <c r="Q110" s="54">
        <v>40136</v>
      </c>
      <c r="R110" s="54"/>
      <c r="S110" s="15"/>
      <c r="T110" s="15"/>
      <c r="U110" s="65"/>
      <c r="V110" s="65"/>
      <c r="W110" s="15"/>
      <c r="X110" s="15"/>
      <c r="Y110" s="77"/>
      <c r="Z110" s="77"/>
      <c r="AA110" s="15"/>
      <c r="AB110" s="15"/>
      <c r="AC110" s="69">
        <f t="shared" si="10"/>
        <v>457637</v>
      </c>
      <c r="AD110" s="69">
        <f t="shared" si="10"/>
        <v>0</v>
      </c>
      <c r="AE110" s="70"/>
      <c r="AF110" s="70">
        <f t="shared" si="11"/>
        <v>8410110</v>
      </c>
      <c r="BH110" s="148"/>
    </row>
    <row r="111" spans="1:60" ht="28.5" customHeight="1" hidden="1">
      <c r="A111" s="1">
        <v>1653</v>
      </c>
      <c r="B111" s="117" t="s">
        <v>138</v>
      </c>
      <c r="C111" s="118">
        <v>844890</v>
      </c>
      <c r="D111" s="3"/>
      <c r="E111" s="68"/>
      <c r="F111" s="3"/>
      <c r="G111" s="68"/>
      <c r="H111" s="3">
        <f t="shared" si="16"/>
        <v>844890</v>
      </c>
      <c r="I111" s="28">
        <v>66439</v>
      </c>
      <c r="J111" s="28"/>
      <c r="K111" s="15"/>
      <c r="L111" s="15"/>
      <c r="M111" s="46">
        <v>39938</v>
      </c>
      <c r="N111" s="47"/>
      <c r="O111" s="15"/>
      <c r="P111" s="15"/>
      <c r="Q111" s="54">
        <v>14258</v>
      </c>
      <c r="R111" s="54"/>
      <c r="S111" s="15"/>
      <c r="T111" s="15"/>
      <c r="U111" s="65"/>
      <c r="V111" s="65"/>
      <c r="W111" s="15"/>
      <c r="X111" s="15"/>
      <c r="Y111" s="77">
        <v>19650</v>
      </c>
      <c r="Z111" s="77"/>
      <c r="AA111" s="15"/>
      <c r="AB111" s="15"/>
      <c r="AC111" s="69">
        <f t="shared" si="10"/>
        <v>140285</v>
      </c>
      <c r="AD111" s="69">
        <f t="shared" si="10"/>
        <v>0</v>
      </c>
      <c r="AE111" s="70"/>
      <c r="AF111" s="70">
        <f t="shared" si="11"/>
        <v>985175</v>
      </c>
      <c r="BH111" s="148"/>
    </row>
    <row r="112" spans="1:60" ht="28.5" customHeight="1" hidden="1">
      <c r="A112" s="1">
        <v>1654</v>
      </c>
      <c r="B112" s="117" t="s">
        <v>145</v>
      </c>
      <c r="C112" s="120">
        <v>2411072</v>
      </c>
      <c r="D112" s="3"/>
      <c r="E112" s="68"/>
      <c r="F112" s="3"/>
      <c r="G112" s="68"/>
      <c r="H112" s="3">
        <f t="shared" si="16"/>
        <v>2411072</v>
      </c>
      <c r="I112" s="28">
        <v>120388</v>
      </c>
      <c r="J112" s="28"/>
      <c r="K112" s="15"/>
      <c r="L112" s="15"/>
      <c r="M112" s="46">
        <v>15910</v>
      </c>
      <c r="N112" s="47"/>
      <c r="O112" s="15"/>
      <c r="P112" s="15"/>
      <c r="Q112" s="54">
        <v>14836</v>
      </c>
      <c r="R112" s="54"/>
      <c r="S112" s="15"/>
      <c r="T112" s="15"/>
      <c r="U112" s="65"/>
      <c r="V112" s="65"/>
      <c r="W112" s="15"/>
      <c r="X112" s="15"/>
      <c r="Y112" s="77">
        <v>11235</v>
      </c>
      <c r="Z112" s="77"/>
      <c r="AA112" s="15"/>
      <c r="AB112" s="15"/>
      <c r="AC112" s="69">
        <f t="shared" si="10"/>
        <v>162369</v>
      </c>
      <c r="AD112" s="69">
        <f t="shared" si="10"/>
        <v>0</v>
      </c>
      <c r="AE112" s="70"/>
      <c r="AF112" s="70">
        <f t="shared" si="11"/>
        <v>2573441</v>
      </c>
      <c r="BH112" s="148"/>
    </row>
    <row r="113" spans="1:60" ht="28.5" customHeight="1" hidden="1">
      <c r="A113" s="1">
        <v>1657</v>
      </c>
      <c r="B113" s="117" t="s">
        <v>146</v>
      </c>
      <c r="C113" s="120">
        <v>141532</v>
      </c>
      <c r="D113" s="3"/>
      <c r="E113" s="68"/>
      <c r="F113" s="3"/>
      <c r="G113" s="68"/>
      <c r="H113" s="3">
        <f t="shared" si="16"/>
        <v>141532</v>
      </c>
      <c r="I113" s="28">
        <v>1506</v>
      </c>
      <c r="J113" s="28"/>
      <c r="K113" s="15"/>
      <c r="L113" s="15"/>
      <c r="M113" s="46"/>
      <c r="N113" s="47"/>
      <c r="O113" s="15"/>
      <c r="P113" s="15"/>
      <c r="Q113" s="54"/>
      <c r="R113" s="54"/>
      <c r="S113" s="15"/>
      <c r="T113" s="15"/>
      <c r="U113" s="65"/>
      <c r="V113" s="65"/>
      <c r="W113" s="15"/>
      <c r="X113" s="15"/>
      <c r="Y113" s="77"/>
      <c r="Z113" s="77"/>
      <c r="AA113" s="15"/>
      <c r="AB113" s="15"/>
      <c r="AC113" s="69">
        <f t="shared" si="10"/>
        <v>1506</v>
      </c>
      <c r="AD113" s="69">
        <f t="shared" si="10"/>
        <v>0</v>
      </c>
      <c r="AE113" s="70"/>
      <c r="AF113" s="70">
        <f t="shared" si="11"/>
        <v>143038</v>
      </c>
      <c r="BH113" s="148"/>
    </row>
    <row r="114" spans="1:60" ht="28.5" customHeight="1" hidden="1">
      <c r="A114" s="1">
        <v>1658</v>
      </c>
      <c r="B114" s="117" t="s">
        <v>147</v>
      </c>
      <c r="C114" s="120">
        <v>812280</v>
      </c>
      <c r="D114" s="3"/>
      <c r="E114" s="68"/>
      <c r="F114" s="3"/>
      <c r="G114" s="68"/>
      <c r="H114" s="3">
        <f t="shared" si="16"/>
        <v>812280</v>
      </c>
      <c r="I114" s="28">
        <v>34300</v>
      </c>
      <c r="J114" s="28"/>
      <c r="K114" s="15"/>
      <c r="L114" s="15"/>
      <c r="M114" s="46">
        <v>17780</v>
      </c>
      <c r="N114" s="47"/>
      <c r="O114" s="15"/>
      <c r="P114" s="15"/>
      <c r="Q114" s="54">
        <v>11433</v>
      </c>
      <c r="R114" s="54"/>
      <c r="S114" s="15"/>
      <c r="T114" s="15"/>
      <c r="U114" s="65"/>
      <c r="V114" s="65"/>
      <c r="W114" s="15"/>
      <c r="X114" s="15"/>
      <c r="Y114" s="77">
        <v>13080</v>
      </c>
      <c r="Z114" s="77"/>
      <c r="AA114" s="15"/>
      <c r="AB114" s="15"/>
      <c r="AC114" s="69">
        <f t="shared" si="10"/>
        <v>76593</v>
      </c>
      <c r="AD114" s="69">
        <f t="shared" si="10"/>
        <v>0</v>
      </c>
      <c r="AE114" s="70"/>
      <c r="AF114" s="70">
        <f t="shared" si="11"/>
        <v>888873</v>
      </c>
      <c r="BH114" s="148"/>
    </row>
    <row r="115" spans="1:60" ht="28.5" customHeight="1" hidden="1">
      <c r="A115" s="1">
        <v>1692</v>
      </c>
      <c r="B115" s="117" t="s">
        <v>148</v>
      </c>
      <c r="C115" s="120">
        <v>-101652</v>
      </c>
      <c r="D115" s="3"/>
      <c r="E115" s="68"/>
      <c r="F115" s="3"/>
      <c r="G115" s="68"/>
      <c r="H115" s="3">
        <f t="shared" si="16"/>
        <v>-101652</v>
      </c>
      <c r="I115" s="28">
        <v>-12131</v>
      </c>
      <c r="J115" s="28"/>
      <c r="K115" s="15"/>
      <c r="L115" s="15"/>
      <c r="M115" s="46">
        <v>-1</v>
      </c>
      <c r="N115" s="47"/>
      <c r="O115" s="15"/>
      <c r="P115" s="15"/>
      <c r="Q115" s="54">
        <v>-29</v>
      </c>
      <c r="R115" s="54"/>
      <c r="S115" s="15"/>
      <c r="T115" s="15"/>
      <c r="U115" s="65"/>
      <c r="V115" s="65"/>
      <c r="W115" s="15"/>
      <c r="X115" s="15"/>
      <c r="Y115" s="77"/>
      <c r="Z115" s="77"/>
      <c r="AA115" s="15"/>
      <c r="AB115" s="15"/>
      <c r="AC115" s="69">
        <f t="shared" si="10"/>
        <v>-12161</v>
      </c>
      <c r="AD115" s="69">
        <f t="shared" si="10"/>
        <v>0</v>
      </c>
      <c r="AE115" s="70"/>
      <c r="AF115" s="70">
        <f t="shared" si="11"/>
        <v>-113813</v>
      </c>
      <c r="BH115" s="148"/>
    </row>
    <row r="116" spans="1:60" ht="28.5" customHeight="1" hidden="1">
      <c r="A116" s="1">
        <v>1693</v>
      </c>
      <c r="B116" s="117" t="s">
        <v>149</v>
      </c>
      <c r="C116" s="120">
        <v>-444466</v>
      </c>
      <c r="D116" s="3"/>
      <c r="E116" s="68"/>
      <c r="F116" s="3"/>
      <c r="G116" s="68"/>
      <c r="H116" s="3">
        <f t="shared" si="16"/>
        <v>-444466</v>
      </c>
      <c r="I116" s="28">
        <v>-31966</v>
      </c>
      <c r="J116" s="28"/>
      <c r="K116" s="15"/>
      <c r="L116" s="15"/>
      <c r="M116" s="46">
        <v>-22846</v>
      </c>
      <c r="N116" s="47"/>
      <c r="O116" s="15"/>
      <c r="P116" s="15"/>
      <c r="Q116" s="54">
        <v>-3557</v>
      </c>
      <c r="R116" s="54"/>
      <c r="S116" s="15"/>
      <c r="T116" s="15"/>
      <c r="U116" s="65"/>
      <c r="V116" s="65"/>
      <c r="W116" s="15"/>
      <c r="X116" s="15"/>
      <c r="Y116" s="77">
        <v>-10520</v>
      </c>
      <c r="Z116" s="77"/>
      <c r="AA116" s="15"/>
      <c r="AB116" s="15"/>
      <c r="AC116" s="69">
        <f t="shared" si="10"/>
        <v>-68889</v>
      </c>
      <c r="AD116" s="69">
        <f t="shared" si="10"/>
        <v>0</v>
      </c>
      <c r="AE116" s="70"/>
      <c r="AF116" s="70">
        <f t="shared" si="11"/>
        <v>-513355</v>
      </c>
      <c r="BH116" s="148"/>
    </row>
    <row r="117" spans="1:60" ht="28.5" customHeight="1" hidden="1">
      <c r="A117" s="1">
        <v>1694</v>
      </c>
      <c r="B117" s="117" t="s">
        <v>150</v>
      </c>
      <c r="C117" s="120">
        <v>-669843</v>
      </c>
      <c r="D117" s="3"/>
      <c r="E117" s="68"/>
      <c r="F117" s="3"/>
      <c r="G117" s="68"/>
      <c r="H117" s="3">
        <f t="shared" si="16"/>
        <v>-669843</v>
      </c>
      <c r="I117" s="28">
        <v>-45402</v>
      </c>
      <c r="J117" s="28"/>
      <c r="K117" s="15"/>
      <c r="L117" s="15"/>
      <c r="M117" s="46">
        <v>-7546</v>
      </c>
      <c r="N117" s="47"/>
      <c r="O117" s="15"/>
      <c r="P117" s="15"/>
      <c r="Q117" s="54">
        <v>-1933</v>
      </c>
      <c r="R117" s="54"/>
      <c r="S117" s="15"/>
      <c r="T117" s="15"/>
      <c r="U117" s="65"/>
      <c r="V117" s="65"/>
      <c r="W117" s="15"/>
      <c r="X117" s="15"/>
      <c r="Y117" s="77">
        <v>-2421</v>
      </c>
      <c r="Z117" s="77"/>
      <c r="AA117" s="15"/>
      <c r="AB117" s="15"/>
      <c r="AC117" s="69">
        <f t="shared" si="10"/>
        <v>-57302</v>
      </c>
      <c r="AD117" s="69">
        <f t="shared" si="10"/>
        <v>0</v>
      </c>
      <c r="AE117" s="70"/>
      <c r="AF117" s="70">
        <f t="shared" si="11"/>
        <v>-727145</v>
      </c>
      <c r="BH117" s="148"/>
    </row>
    <row r="118" spans="1:60" ht="28.5" customHeight="1" hidden="1">
      <c r="A118" s="1">
        <v>1697</v>
      </c>
      <c r="B118" s="117" t="s">
        <v>151</v>
      </c>
      <c r="C118" s="120">
        <v>-54614</v>
      </c>
      <c r="D118" s="3"/>
      <c r="E118" s="68"/>
      <c r="F118" s="3"/>
      <c r="G118" s="68"/>
      <c r="H118" s="3">
        <f t="shared" si="16"/>
        <v>-54614</v>
      </c>
      <c r="I118" s="28">
        <v>-853</v>
      </c>
      <c r="J118" s="28"/>
      <c r="K118" s="15"/>
      <c r="L118" s="15"/>
      <c r="M118" s="46"/>
      <c r="N118" s="47"/>
      <c r="O118" s="15"/>
      <c r="P118" s="15"/>
      <c r="Q118" s="54"/>
      <c r="R118" s="54"/>
      <c r="S118" s="15"/>
      <c r="T118" s="15"/>
      <c r="U118" s="65"/>
      <c r="V118" s="65"/>
      <c r="W118" s="15"/>
      <c r="X118" s="15"/>
      <c r="Y118" s="77"/>
      <c r="Z118" s="77"/>
      <c r="AA118" s="15"/>
      <c r="AB118" s="15"/>
      <c r="AC118" s="69">
        <f t="shared" si="10"/>
        <v>-853</v>
      </c>
      <c r="AD118" s="69">
        <f t="shared" si="10"/>
        <v>0</v>
      </c>
      <c r="AE118" s="70"/>
      <c r="AF118" s="70">
        <f t="shared" si="11"/>
        <v>-55467</v>
      </c>
      <c r="BH118" s="148"/>
    </row>
    <row r="119" spans="1:60" ht="28.5" customHeight="1" hidden="1">
      <c r="A119" s="1">
        <v>1698</v>
      </c>
      <c r="B119" s="117" t="s">
        <v>152</v>
      </c>
      <c r="C119" s="120">
        <v>-266138</v>
      </c>
      <c r="D119" s="3"/>
      <c r="E119" s="68"/>
      <c r="F119" s="3"/>
      <c r="G119" s="68"/>
      <c r="H119" s="3">
        <f t="shared" si="16"/>
        <v>-266138</v>
      </c>
      <c r="I119" s="28">
        <v>-9336</v>
      </c>
      <c r="J119" s="28"/>
      <c r="K119" s="15"/>
      <c r="L119" s="15"/>
      <c r="M119" s="46">
        <v>-3498</v>
      </c>
      <c r="N119" s="47"/>
      <c r="O119" s="15"/>
      <c r="P119" s="15"/>
      <c r="Q119" s="54">
        <v>-1832</v>
      </c>
      <c r="R119" s="54"/>
      <c r="S119" s="15"/>
      <c r="T119" s="15"/>
      <c r="U119" s="65"/>
      <c r="V119" s="65"/>
      <c r="W119" s="15"/>
      <c r="X119" s="15"/>
      <c r="Y119" s="77">
        <v>-2690</v>
      </c>
      <c r="Z119" s="77"/>
      <c r="AA119" s="15"/>
      <c r="AB119" s="15"/>
      <c r="AC119" s="69">
        <f t="shared" si="10"/>
        <v>-17356</v>
      </c>
      <c r="AD119" s="69">
        <f t="shared" si="10"/>
        <v>0</v>
      </c>
      <c r="AE119" s="70"/>
      <c r="AF119" s="70">
        <f t="shared" si="11"/>
        <v>-283494</v>
      </c>
      <c r="BH119" s="148"/>
    </row>
    <row r="120" spans="1:60" ht="20.25" customHeight="1">
      <c r="A120" s="12"/>
      <c r="B120" s="117" t="s">
        <v>153</v>
      </c>
      <c r="C120" s="120">
        <f>25839152</f>
        <v>25839152</v>
      </c>
      <c r="D120" s="5">
        <f>SUM(D121:D158)</f>
        <v>0</v>
      </c>
      <c r="E120" s="5">
        <f aca="true" t="shared" si="17" ref="E120:AF120">SUM(E121:E158)</f>
        <v>0</v>
      </c>
      <c r="F120" s="5">
        <f>SUM(F121:F158)</f>
        <v>196955</v>
      </c>
      <c r="G120" s="5">
        <f t="shared" si="17"/>
        <v>0</v>
      </c>
      <c r="H120" s="5">
        <f>SUM(H121:H158)</f>
        <v>27218612</v>
      </c>
      <c r="I120" s="5">
        <f t="shared" si="17"/>
        <v>107626</v>
      </c>
      <c r="J120" s="5">
        <f t="shared" si="17"/>
        <v>0</v>
      </c>
      <c r="K120" s="5">
        <f t="shared" si="17"/>
        <v>0</v>
      </c>
      <c r="L120" s="5">
        <f t="shared" si="17"/>
        <v>1645062</v>
      </c>
      <c r="M120" s="5">
        <f t="shared" si="17"/>
        <v>161849</v>
      </c>
      <c r="N120" s="5">
        <f t="shared" si="17"/>
        <v>0</v>
      </c>
      <c r="O120" s="5">
        <f t="shared" si="17"/>
        <v>0</v>
      </c>
      <c r="P120" s="5">
        <f t="shared" si="17"/>
        <v>1725000</v>
      </c>
      <c r="Q120" s="5">
        <f t="shared" si="17"/>
        <v>685370</v>
      </c>
      <c r="R120" s="5">
        <f t="shared" si="17"/>
        <v>0</v>
      </c>
      <c r="S120" s="5">
        <f t="shared" si="17"/>
        <v>0</v>
      </c>
      <c r="T120" s="5">
        <f t="shared" si="17"/>
        <v>1506710</v>
      </c>
      <c r="U120" s="5">
        <f t="shared" si="17"/>
        <v>80</v>
      </c>
      <c r="V120" s="5">
        <f t="shared" si="17"/>
        <v>0</v>
      </c>
      <c r="W120" s="5">
        <f t="shared" si="17"/>
        <v>0</v>
      </c>
      <c r="X120" s="5">
        <f t="shared" si="17"/>
        <v>321600</v>
      </c>
      <c r="Y120" s="7">
        <f t="shared" si="17"/>
        <v>121183</v>
      </c>
      <c r="Z120" s="7">
        <f t="shared" si="17"/>
        <v>0</v>
      </c>
      <c r="AA120" s="5">
        <f t="shared" si="17"/>
        <v>122938</v>
      </c>
      <c r="AB120" s="5">
        <f t="shared" si="17"/>
        <v>361692</v>
      </c>
      <c r="AC120" s="5">
        <f t="shared" si="10"/>
        <v>1199046</v>
      </c>
      <c r="AD120" s="5">
        <f t="shared" si="10"/>
        <v>5560064</v>
      </c>
      <c r="AE120" s="5">
        <f t="shared" si="17"/>
        <v>94</v>
      </c>
      <c r="AF120" s="5">
        <f t="shared" si="17"/>
        <v>22857688</v>
      </c>
      <c r="BH120" s="148">
        <v>7012953</v>
      </c>
    </row>
    <row r="121" spans="1:60" ht="74.25" customHeight="1" hidden="1">
      <c r="A121" s="1">
        <v>1011</v>
      </c>
      <c r="B121" s="117" t="s">
        <v>154</v>
      </c>
      <c r="C121" s="120">
        <v>4517563</v>
      </c>
      <c r="D121" s="3"/>
      <c r="E121" s="68"/>
      <c r="F121" s="3"/>
      <c r="G121" s="68" t="s">
        <v>438</v>
      </c>
      <c r="H121" s="3">
        <f>C121+D121-F121</f>
        <v>4517563</v>
      </c>
      <c r="I121" s="28"/>
      <c r="J121" s="28"/>
      <c r="K121" s="15"/>
      <c r="L121" s="15"/>
      <c r="M121" s="46"/>
      <c r="N121" s="47"/>
      <c r="O121" s="15"/>
      <c r="P121" s="15"/>
      <c r="Q121" s="54"/>
      <c r="R121" s="54"/>
      <c r="S121" s="15"/>
      <c r="T121" s="15"/>
      <c r="U121" s="65"/>
      <c r="V121" s="65"/>
      <c r="W121" s="15"/>
      <c r="X121" s="15"/>
      <c r="Y121" s="77"/>
      <c r="Z121" s="77"/>
      <c r="AA121" s="15"/>
      <c r="AB121" s="15"/>
      <c r="AC121" s="69">
        <f t="shared" si="10"/>
        <v>0</v>
      </c>
      <c r="AD121" s="69">
        <f t="shared" si="10"/>
        <v>0</v>
      </c>
      <c r="AE121" s="70"/>
      <c r="AF121" s="70">
        <f t="shared" si="11"/>
        <v>4517563</v>
      </c>
      <c r="BH121" s="148"/>
    </row>
    <row r="122" spans="1:60" ht="28.5" customHeight="1" hidden="1">
      <c r="A122" s="1">
        <v>1471</v>
      </c>
      <c r="B122" s="117" t="s">
        <v>155</v>
      </c>
      <c r="C122" s="120">
        <v>5497194</v>
      </c>
      <c r="D122" s="109"/>
      <c r="E122" s="110"/>
      <c r="F122" s="111"/>
      <c r="G122" s="110"/>
      <c r="H122" s="3">
        <f aca="true" t="shared" si="18" ref="H122:H158">C122+D122-F122</f>
        <v>5497194</v>
      </c>
      <c r="I122" s="29"/>
      <c r="J122" s="29"/>
      <c r="K122" s="15"/>
      <c r="L122" s="86">
        <f>1582192+62870</f>
        <v>1645062</v>
      </c>
      <c r="M122" s="46"/>
      <c r="N122" s="46"/>
      <c r="O122" s="15"/>
      <c r="P122" s="60">
        <v>1725000</v>
      </c>
      <c r="Q122" s="55"/>
      <c r="R122" s="55"/>
      <c r="S122" s="27"/>
      <c r="T122" s="60">
        <v>1506710</v>
      </c>
      <c r="U122" s="71"/>
      <c r="V122" s="71"/>
      <c r="W122" s="60"/>
      <c r="X122" s="60">
        <f>318592+3008</f>
        <v>321600</v>
      </c>
      <c r="Y122" s="77"/>
      <c r="Z122" s="77"/>
      <c r="AA122" s="60"/>
      <c r="AB122" s="60">
        <v>361692</v>
      </c>
      <c r="AC122" s="69">
        <f t="shared" si="10"/>
        <v>0</v>
      </c>
      <c r="AD122" s="69">
        <f t="shared" si="10"/>
        <v>5560064</v>
      </c>
      <c r="AE122" s="70"/>
      <c r="AF122" s="70">
        <f t="shared" si="11"/>
        <v>-62870</v>
      </c>
      <c r="BH122" s="148"/>
    </row>
    <row r="123" spans="1:60" ht="28.5" customHeight="1" hidden="1">
      <c r="A123" s="1">
        <v>1472</v>
      </c>
      <c r="B123" s="117" t="s">
        <v>156</v>
      </c>
      <c r="C123" s="120">
        <v>138541</v>
      </c>
      <c r="D123" s="109"/>
      <c r="E123" s="110"/>
      <c r="F123" s="109"/>
      <c r="G123" s="68"/>
      <c r="H123" s="3">
        <f t="shared" si="18"/>
        <v>138541</v>
      </c>
      <c r="I123" s="28"/>
      <c r="J123" s="28"/>
      <c r="K123" s="15"/>
      <c r="L123" s="4"/>
      <c r="M123" s="46"/>
      <c r="N123" s="47"/>
      <c r="O123" s="15"/>
      <c r="P123" s="4"/>
      <c r="Q123" s="57"/>
      <c r="R123" s="57"/>
      <c r="S123" s="4"/>
      <c r="T123" s="4"/>
      <c r="U123" s="87"/>
      <c r="V123" s="87"/>
      <c r="W123" s="4"/>
      <c r="X123" s="4"/>
      <c r="Y123" s="77"/>
      <c r="Z123" s="77"/>
      <c r="AA123" s="4"/>
      <c r="AB123" s="4"/>
      <c r="AC123" s="69">
        <f t="shared" si="10"/>
        <v>0</v>
      </c>
      <c r="AD123" s="69">
        <f t="shared" si="10"/>
        <v>0</v>
      </c>
      <c r="AE123" s="70">
        <v>94</v>
      </c>
      <c r="AF123" s="6">
        <f>H123+AC123-AD123+AE123</f>
        <v>138635</v>
      </c>
      <c r="BH123" s="148"/>
    </row>
    <row r="124" spans="1:60" ht="28.5" customHeight="1" hidden="1">
      <c r="A124" s="1">
        <v>1476</v>
      </c>
      <c r="B124" s="117" t="s">
        <v>157</v>
      </c>
      <c r="C124" s="120">
        <v>272354</v>
      </c>
      <c r="D124" s="3"/>
      <c r="E124" s="68"/>
      <c r="F124" s="3"/>
      <c r="G124" s="68"/>
      <c r="H124" s="3">
        <f t="shared" si="18"/>
        <v>272354</v>
      </c>
      <c r="I124" s="28"/>
      <c r="J124" s="28"/>
      <c r="K124" s="15"/>
      <c r="L124" s="15"/>
      <c r="M124" s="46">
        <v>0</v>
      </c>
      <c r="N124" s="47"/>
      <c r="O124" s="15"/>
      <c r="P124" s="15"/>
      <c r="Q124" s="54"/>
      <c r="R124" s="54"/>
      <c r="S124" s="15"/>
      <c r="T124" s="15"/>
      <c r="U124" s="65"/>
      <c r="V124" s="65"/>
      <c r="W124" s="15"/>
      <c r="X124" s="15"/>
      <c r="Y124" s="77"/>
      <c r="Z124" s="77"/>
      <c r="AA124" s="15"/>
      <c r="AB124" s="15"/>
      <c r="AC124" s="69">
        <f t="shared" si="10"/>
        <v>0</v>
      </c>
      <c r="AD124" s="69">
        <f t="shared" si="10"/>
        <v>0</v>
      </c>
      <c r="AE124" s="70"/>
      <c r="AF124" s="70">
        <f t="shared" si="11"/>
        <v>272354</v>
      </c>
      <c r="BH124" s="148"/>
    </row>
    <row r="125" spans="1:60" ht="28.5" customHeight="1" hidden="1">
      <c r="A125" s="1">
        <v>1602</v>
      </c>
      <c r="B125" s="117" t="s">
        <v>158</v>
      </c>
      <c r="C125" s="120">
        <v>336117</v>
      </c>
      <c r="D125" s="3"/>
      <c r="E125" s="68"/>
      <c r="F125" s="3"/>
      <c r="G125" s="68"/>
      <c r="H125" s="3">
        <f t="shared" si="18"/>
        <v>336117</v>
      </c>
      <c r="I125" s="28">
        <v>48273</v>
      </c>
      <c r="J125" s="28"/>
      <c r="K125" s="15"/>
      <c r="L125" s="15"/>
      <c r="M125" s="46">
        <v>2329</v>
      </c>
      <c r="N125" s="47"/>
      <c r="O125" s="15"/>
      <c r="P125" s="15"/>
      <c r="Q125" s="54">
        <v>0</v>
      </c>
      <c r="R125" s="54"/>
      <c r="S125" s="15"/>
      <c r="T125" s="15"/>
      <c r="U125" s="65"/>
      <c r="V125" s="65"/>
      <c r="W125" s="15"/>
      <c r="X125" s="15"/>
      <c r="Y125" s="77">
        <v>3437</v>
      </c>
      <c r="Z125" s="77"/>
      <c r="AA125" s="15"/>
      <c r="AB125" s="15"/>
      <c r="AC125" s="69">
        <f t="shared" si="10"/>
        <v>54039</v>
      </c>
      <c r="AD125" s="69">
        <f t="shared" si="10"/>
        <v>0</v>
      </c>
      <c r="AE125" s="70"/>
      <c r="AF125" s="70">
        <f t="shared" si="11"/>
        <v>390156</v>
      </c>
      <c r="BH125" s="148"/>
    </row>
    <row r="126" spans="1:60" ht="28.5" customHeight="1" hidden="1">
      <c r="A126" s="14">
        <v>1604</v>
      </c>
      <c r="B126" s="117" t="s">
        <v>596</v>
      </c>
      <c r="C126" s="120"/>
      <c r="D126" s="3"/>
      <c r="E126" s="68"/>
      <c r="F126" s="3"/>
      <c r="G126" s="68"/>
      <c r="H126" s="3">
        <f t="shared" si="18"/>
        <v>0</v>
      </c>
      <c r="I126" s="28"/>
      <c r="J126" s="28"/>
      <c r="K126" s="15"/>
      <c r="L126" s="15"/>
      <c r="M126" s="46"/>
      <c r="N126" s="47"/>
      <c r="O126" s="15"/>
      <c r="P126" s="15"/>
      <c r="Q126" s="54"/>
      <c r="R126" s="54"/>
      <c r="S126" s="15"/>
      <c r="T126" s="15"/>
      <c r="U126" s="65"/>
      <c r="V126" s="65"/>
      <c r="W126" s="15"/>
      <c r="X126" s="15"/>
      <c r="Y126" s="77"/>
      <c r="Z126" s="77"/>
      <c r="AA126" s="15"/>
      <c r="AB126" s="15"/>
      <c r="AC126" s="69">
        <f t="shared" si="10"/>
        <v>0</v>
      </c>
      <c r="AD126" s="69">
        <f t="shared" si="10"/>
        <v>0</v>
      </c>
      <c r="AE126" s="70"/>
      <c r="AF126" s="70">
        <f t="shared" si="11"/>
        <v>0</v>
      </c>
      <c r="BH126" s="148"/>
    </row>
    <row r="127" spans="1:60" ht="28.5" customHeight="1" hidden="1">
      <c r="A127" s="1">
        <v>1659</v>
      </c>
      <c r="B127" s="117" t="s">
        <v>159</v>
      </c>
      <c r="C127" s="120">
        <v>1175581</v>
      </c>
      <c r="D127" s="116"/>
      <c r="E127" s="68"/>
      <c r="F127" s="3"/>
      <c r="G127" s="68"/>
      <c r="H127" s="3">
        <f t="shared" si="18"/>
        <v>1175581</v>
      </c>
      <c r="I127" s="28">
        <v>37873</v>
      </c>
      <c r="J127" s="28"/>
      <c r="K127" s="15"/>
      <c r="L127" s="26"/>
      <c r="M127" s="46">
        <v>5437</v>
      </c>
      <c r="N127" s="47"/>
      <c r="O127" s="15"/>
      <c r="P127" s="26"/>
      <c r="Q127" s="56"/>
      <c r="R127" s="56"/>
      <c r="S127" s="26"/>
      <c r="T127" s="26"/>
      <c r="U127" s="72"/>
      <c r="V127" s="72"/>
      <c r="W127" s="26"/>
      <c r="X127" s="26"/>
      <c r="Y127" s="77">
        <v>6560</v>
      </c>
      <c r="Z127" s="77"/>
      <c r="AA127" s="26">
        <v>122938</v>
      </c>
      <c r="AB127" s="26"/>
      <c r="AC127" s="69">
        <f t="shared" si="10"/>
        <v>172808</v>
      </c>
      <c r="AD127" s="69">
        <f t="shared" si="10"/>
        <v>0</v>
      </c>
      <c r="AE127" s="70"/>
      <c r="AF127" s="70">
        <f t="shared" si="11"/>
        <v>1348389</v>
      </c>
      <c r="BH127" s="148"/>
    </row>
    <row r="128" spans="1:60" ht="28.5" customHeight="1" hidden="1">
      <c r="A128" s="1">
        <v>1699</v>
      </c>
      <c r="B128" s="117" t="s">
        <v>160</v>
      </c>
      <c r="C128" s="120">
        <v>-371727</v>
      </c>
      <c r="D128" s="3"/>
      <c r="E128" s="68"/>
      <c r="F128" s="3"/>
      <c r="G128" s="68"/>
      <c r="H128" s="3">
        <f t="shared" si="18"/>
        <v>-371727</v>
      </c>
      <c r="I128" s="28">
        <v>-7182</v>
      </c>
      <c r="J128" s="28"/>
      <c r="K128" s="15"/>
      <c r="L128" s="15"/>
      <c r="M128" s="46">
        <f>-1273</f>
        <v>-1273</v>
      </c>
      <c r="N128" s="47"/>
      <c r="O128" s="15"/>
      <c r="P128" s="15"/>
      <c r="Q128" s="54"/>
      <c r="R128" s="54"/>
      <c r="S128" s="15"/>
      <c r="T128" s="15"/>
      <c r="U128" s="65"/>
      <c r="V128" s="65"/>
      <c r="W128" s="15"/>
      <c r="X128" s="15"/>
      <c r="Y128" s="77">
        <v>-3080</v>
      </c>
      <c r="Z128" s="77"/>
      <c r="AA128" s="15"/>
      <c r="AB128" s="15"/>
      <c r="AC128" s="69">
        <f t="shared" si="10"/>
        <v>-11535</v>
      </c>
      <c r="AD128" s="69">
        <f t="shared" si="10"/>
        <v>0</v>
      </c>
      <c r="AE128" s="70"/>
      <c r="AF128" s="70">
        <f t="shared" si="11"/>
        <v>-383262</v>
      </c>
      <c r="BH128" s="148"/>
    </row>
    <row r="129" spans="1:60" ht="28.5" customHeight="1" hidden="1">
      <c r="A129" s="14">
        <v>1756</v>
      </c>
      <c r="B129" s="117" t="s">
        <v>597</v>
      </c>
      <c r="C129" s="120">
        <v>74</v>
      </c>
      <c r="D129" s="3"/>
      <c r="E129" s="68"/>
      <c r="F129" s="3"/>
      <c r="G129" s="68"/>
      <c r="H129" s="3">
        <f t="shared" si="18"/>
        <v>74</v>
      </c>
      <c r="I129" s="28">
        <v>0</v>
      </c>
      <c r="J129" s="28"/>
      <c r="K129" s="15"/>
      <c r="L129" s="15"/>
      <c r="M129" s="46"/>
      <c r="N129" s="47"/>
      <c r="O129" s="15"/>
      <c r="P129" s="15"/>
      <c r="Q129" s="54"/>
      <c r="R129" s="54"/>
      <c r="S129" s="15"/>
      <c r="T129" s="15"/>
      <c r="U129" s="65"/>
      <c r="V129" s="65"/>
      <c r="W129" s="15"/>
      <c r="X129" s="15"/>
      <c r="Y129" s="77"/>
      <c r="Z129" s="77"/>
      <c r="AA129" s="15"/>
      <c r="AB129" s="15"/>
      <c r="AC129" s="69">
        <f t="shared" si="10"/>
        <v>0</v>
      </c>
      <c r="AD129" s="69">
        <f t="shared" si="10"/>
        <v>0</v>
      </c>
      <c r="AE129" s="70"/>
      <c r="AF129" s="70">
        <f t="shared" si="11"/>
        <v>74</v>
      </c>
      <c r="BH129" s="148"/>
    </row>
    <row r="130" spans="1:60" ht="28.5" customHeight="1" hidden="1">
      <c r="A130" s="1">
        <v>1792</v>
      </c>
      <c r="B130" s="117" t="s">
        <v>161</v>
      </c>
      <c r="C130" s="120">
        <v>129795</v>
      </c>
      <c r="D130" s="3"/>
      <c r="E130" s="68"/>
      <c r="F130" s="3"/>
      <c r="G130" s="68"/>
      <c r="H130" s="3">
        <f t="shared" si="18"/>
        <v>129795</v>
      </c>
      <c r="I130" s="28"/>
      <c r="J130" s="28"/>
      <c r="K130" s="15"/>
      <c r="L130" s="15"/>
      <c r="M130" s="46"/>
      <c r="N130" s="47"/>
      <c r="O130" s="15"/>
      <c r="P130" s="15"/>
      <c r="Q130" s="54">
        <v>0</v>
      </c>
      <c r="R130" s="54"/>
      <c r="S130" s="15"/>
      <c r="T130" s="15"/>
      <c r="U130" s="65"/>
      <c r="V130" s="65"/>
      <c r="W130" s="15"/>
      <c r="X130" s="15"/>
      <c r="Y130" s="77"/>
      <c r="Z130" s="77"/>
      <c r="AA130" s="15"/>
      <c r="AB130" s="15"/>
      <c r="AC130" s="69">
        <f t="shared" si="10"/>
        <v>0</v>
      </c>
      <c r="AD130" s="69">
        <f t="shared" si="10"/>
        <v>0</v>
      </c>
      <c r="AE130" s="70"/>
      <c r="AF130" s="70">
        <f t="shared" si="11"/>
        <v>129795</v>
      </c>
      <c r="BH130" s="148"/>
    </row>
    <row r="131" spans="1:60" ht="65.25" customHeight="1" hidden="1">
      <c r="A131" s="14">
        <v>1793</v>
      </c>
      <c r="B131" s="117" t="s">
        <v>598</v>
      </c>
      <c r="C131" s="120">
        <v>3942143</v>
      </c>
      <c r="D131" s="3"/>
      <c r="E131" s="68"/>
      <c r="F131" s="3"/>
      <c r="G131" s="68" t="s">
        <v>14</v>
      </c>
      <c r="H131" s="3">
        <f t="shared" si="18"/>
        <v>3942143</v>
      </c>
      <c r="I131" s="28">
        <v>3787</v>
      </c>
      <c r="J131" s="28"/>
      <c r="K131" s="15"/>
      <c r="L131" s="15"/>
      <c r="M131" s="46">
        <f>583+505</f>
        <v>1088</v>
      </c>
      <c r="N131" s="47"/>
      <c r="O131" s="15"/>
      <c r="P131" s="15"/>
      <c r="Q131" s="54">
        <v>10450</v>
      </c>
      <c r="R131" s="54"/>
      <c r="S131" s="15"/>
      <c r="T131" s="15"/>
      <c r="U131" s="65"/>
      <c r="V131" s="65"/>
      <c r="W131" s="15"/>
      <c r="X131" s="15"/>
      <c r="Y131" s="77"/>
      <c r="Z131" s="77"/>
      <c r="AA131" s="15"/>
      <c r="AB131" s="15"/>
      <c r="AC131" s="69">
        <f t="shared" si="10"/>
        <v>15325</v>
      </c>
      <c r="AD131" s="69">
        <f t="shared" si="10"/>
        <v>0</v>
      </c>
      <c r="AE131" s="70"/>
      <c r="AF131" s="70">
        <f t="shared" si="11"/>
        <v>3957468</v>
      </c>
      <c r="BH131" s="148"/>
    </row>
    <row r="132" spans="1:60" ht="28.5" customHeight="1" hidden="1">
      <c r="A132" s="1">
        <v>1799</v>
      </c>
      <c r="B132" s="117" t="s">
        <v>162</v>
      </c>
      <c r="C132" s="120">
        <v>99</v>
      </c>
      <c r="D132" s="3"/>
      <c r="E132" s="68"/>
      <c r="F132" s="3"/>
      <c r="G132" s="68"/>
      <c r="H132" s="3">
        <f t="shared" si="18"/>
        <v>99</v>
      </c>
      <c r="I132" s="28"/>
      <c r="J132" s="28"/>
      <c r="K132" s="15"/>
      <c r="L132" s="15"/>
      <c r="M132" s="46"/>
      <c r="N132" s="47"/>
      <c r="O132" s="15"/>
      <c r="P132" s="15"/>
      <c r="Q132" s="54">
        <v>2598</v>
      </c>
      <c r="R132" s="54"/>
      <c r="S132" s="15"/>
      <c r="T132" s="15"/>
      <c r="U132" s="65"/>
      <c r="V132" s="65"/>
      <c r="W132" s="15"/>
      <c r="X132" s="15"/>
      <c r="Y132" s="77">
        <v>7346</v>
      </c>
      <c r="Z132" s="77"/>
      <c r="AA132" s="15"/>
      <c r="AB132" s="15"/>
      <c r="AC132" s="69">
        <f t="shared" si="10"/>
        <v>9944</v>
      </c>
      <c r="AD132" s="69">
        <f t="shared" si="10"/>
        <v>0</v>
      </c>
      <c r="AE132" s="70"/>
      <c r="AF132" s="70">
        <f t="shared" si="11"/>
        <v>10043</v>
      </c>
      <c r="BH132" s="148"/>
    </row>
    <row r="133" spans="1:60" ht="28.5" customHeight="1" hidden="1">
      <c r="A133" s="1">
        <v>1811</v>
      </c>
      <c r="B133" s="117" t="s">
        <v>163</v>
      </c>
      <c r="C133" s="120">
        <v>408</v>
      </c>
      <c r="D133" s="3"/>
      <c r="E133" s="68"/>
      <c r="F133" s="3"/>
      <c r="G133" s="68"/>
      <c r="H133" s="3">
        <f t="shared" si="18"/>
        <v>408</v>
      </c>
      <c r="I133" s="28">
        <v>12</v>
      </c>
      <c r="J133" s="28"/>
      <c r="K133" s="15"/>
      <c r="L133" s="15"/>
      <c r="M133" s="46"/>
      <c r="N133" s="47"/>
      <c r="O133" s="15"/>
      <c r="P133" s="15"/>
      <c r="Q133" s="54"/>
      <c r="R133" s="54"/>
      <c r="S133" s="15"/>
      <c r="T133" s="15"/>
      <c r="U133" s="65"/>
      <c r="V133" s="65"/>
      <c r="W133" s="15"/>
      <c r="X133" s="15"/>
      <c r="Y133" s="77"/>
      <c r="Z133" s="77"/>
      <c r="AA133" s="15"/>
      <c r="AB133" s="15"/>
      <c r="AC133" s="69">
        <f t="shared" si="10"/>
        <v>12</v>
      </c>
      <c r="AD133" s="69">
        <f t="shared" si="10"/>
        <v>0</v>
      </c>
      <c r="AE133" s="70"/>
      <c r="AF133" s="70">
        <f t="shared" si="11"/>
        <v>420</v>
      </c>
      <c r="BH133" s="148"/>
    </row>
    <row r="134" spans="1:60" ht="28.5" customHeight="1" hidden="1">
      <c r="A134" s="1">
        <v>1813</v>
      </c>
      <c r="B134" s="117" t="s">
        <v>542</v>
      </c>
      <c r="C134" s="120"/>
      <c r="D134" s="3"/>
      <c r="E134" s="68"/>
      <c r="F134" s="3"/>
      <c r="G134" s="68"/>
      <c r="H134" s="3">
        <f t="shared" si="18"/>
        <v>0</v>
      </c>
      <c r="I134" s="28"/>
      <c r="J134" s="28"/>
      <c r="K134" s="15"/>
      <c r="L134" s="15"/>
      <c r="M134" s="46"/>
      <c r="N134" s="47"/>
      <c r="O134" s="15"/>
      <c r="P134" s="15"/>
      <c r="Q134" s="54">
        <v>140</v>
      </c>
      <c r="R134" s="54"/>
      <c r="S134" s="15"/>
      <c r="T134" s="15"/>
      <c r="U134" s="65"/>
      <c r="V134" s="65"/>
      <c r="W134" s="15"/>
      <c r="X134" s="15"/>
      <c r="Y134" s="77"/>
      <c r="Z134" s="77"/>
      <c r="AA134" s="15"/>
      <c r="AB134" s="15"/>
      <c r="AC134" s="69">
        <f t="shared" si="10"/>
        <v>140</v>
      </c>
      <c r="AD134" s="69">
        <f t="shared" si="10"/>
        <v>0</v>
      </c>
      <c r="AE134" s="70"/>
      <c r="AF134" s="70">
        <f t="shared" si="11"/>
        <v>140</v>
      </c>
      <c r="BH134" s="148"/>
    </row>
    <row r="135" spans="1:60" ht="28.5" customHeight="1" hidden="1">
      <c r="A135" s="1">
        <v>1815</v>
      </c>
      <c r="B135" s="117" t="s">
        <v>15</v>
      </c>
      <c r="C135" s="120">
        <v>7</v>
      </c>
      <c r="D135" s="3"/>
      <c r="E135" s="68"/>
      <c r="F135" s="3"/>
      <c r="G135" s="68"/>
      <c r="H135" s="3">
        <f>C135+D135-F135</f>
        <v>7</v>
      </c>
      <c r="I135" s="28"/>
      <c r="J135" s="28"/>
      <c r="K135" s="15"/>
      <c r="L135" s="15"/>
      <c r="M135" s="46"/>
      <c r="N135" s="47"/>
      <c r="O135" s="15"/>
      <c r="P135" s="15"/>
      <c r="Q135" s="54"/>
      <c r="R135" s="54"/>
      <c r="S135" s="15"/>
      <c r="T135" s="15"/>
      <c r="U135" s="65"/>
      <c r="V135" s="65"/>
      <c r="W135" s="15"/>
      <c r="X135" s="15"/>
      <c r="Y135" s="77"/>
      <c r="Z135" s="77"/>
      <c r="AA135" s="15"/>
      <c r="AB135" s="15"/>
      <c r="AC135" s="69">
        <f t="shared" si="10"/>
        <v>0</v>
      </c>
      <c r="AD135" s="69">
        <f t="shared" si="10"/>
        <v>0</v>
      </c>
      <c r="AE135" s="70"/>
      <c r="AF135" s="70">
        <f t="shared" si="11"/>
        <v>7</v>
      </c>
      <c r="BH135" s="148"/>
    </row>
    <row r="136" spans="1:60" ht="28.5" customHeight="1" hidden="1">
      <c r="A136" s="1">
        <v>1816</v>
      </c>
      <c r="B136" s="117" t="s">
        <v>165</v>
      </c>
      <c r="C136" s="120">
        <v>76232</v>
      </c>
      <c r="D136" s="3"/>
      <c r="E136" s="68"/>
      <c r="F136" s="3"/>
      <c r="G136" s="68"/>
      <c r="H136" s="3">
        <f t="shared" si="18"/>
        <v>76232</v>
      </c>
      <c r="I136" s="28"/>
      <c r="J136" s="28"/>
      <c r="K136" s="15"/>
      <c r="L136" s="15"/>
      <c r="M136" s="46"/>
      <c r="N136" s="47"/>
      <c r="O136" s="15"/>
      <c r="P136" s="15"/>
      <c r="Q136" s="54"/>
      <c r="R136" s="54"/>
      <c r="S136" s="15"/>
      <c r="T136" s="15"/>
      <c r="U136" s="65"/>
      <c r="V136" s="65"/>
      <c r="W136" s="15"/>
      <c r="X136" s="15"/>
      <c r="Y136" s="77"/>
      <c r="Z136" s="77"/>
      <c r="AA136" s="15"/>
      <c r="AB136" s="15"/>
      <c r="AC136" s="69">
        <f aca="true" t="shared" si="19" ref="AC136:AD199">I136+K136+M136+O136+Q136+S136+U136+W136+Y136+AA136</f>
        <v>0</v>
      </c>
      <c r="AD136" s="69">
        <f t="shared" si="19"/>
        <v>0</v>
      </c>
      <c r="AE136" s="70"/>
      <c r="AF136" s="70">
        <f t="shared" si="11"/>
        <v>76232</v>
      </c>
      <c r="BH136" s="148"/>
    </row>
    <row r="137" spans="1:60" ht="44.25" customHeight="1" hidden="1">
      <c r="A137" s="1">
        <v>1817</v>
      </c>
      <c r="B137" s="117" t="s">
        <v>166</v>
      </c>
      <c r="C137" s="120">
        <v>1981</v>
      </c>
      <c r="D137" s="3"/>
      <c r="E137" s="68"/>
      <c r="F137" s="3"/>
      <c r="G137" s="68"/>
      <c r="H137" s="3">
        <f t="shared" si="18"/>
        <v>1981</v>
      </c>
      <c r="I137" s="28"/>
      <c r="J137" s="28"/>
      <c r="K137" s="15"/>
      <c r="L137" s="15"/>
      <c r="M137" s="46"/>
      <c r="N137" s="47"/>
      <c r="O137" s="15"/>
      <c r="P137" s="15"/>
      <c r="Q137" s="54"/>
      <c r="R137" s="54"/>
      <c r="S137" s="15"/>
      <c r="T137" s="15"/>
      <c r="U137" s="65"/>
      <c r="V137" s="65"/>
      <c r="W137" s="15"/>
      <c r="X137" s="15"/>
      <c r="Y137" s="77"/>
      <c r="Z137" s="77"/>
      <c r="AA137" s="15"/>
      <c r="AB137" s="15"/>
      <c r="AC137" s="69">
        <f t="shared" si="19"/>
        <v>0</v>
      </c>
      <c r="AD137" s="69">
        <f t="shared" si="19"/>
        <v>0</v>
      </c>
      <c r="AE137" s="70"/>
      <c r="AF137" s="70">
        <f t="shared" si="11"/>
        <v>1981</v>
      </c>
      <c r="BH137" s="148"/>
    </row>
    <row r="138" spans="1:60" ht="28.5" customHeight="1" hidden="1">
      <c r="A138" s="1">
        <v>1818</v>
      </c>
      <c r="B138" s="117" t="s">
        <v>167</v>
      </c>
      <c r="C138" s="120">
        <v>8841</v>
      </c>
      <c r="D138" s="3"/>
      <c r="E138" s="68"/>
      <c r="F138" s="3"/>
      <c r="G138" s="68"/>
      <c r="H138" s="3">
        <f t="shared" si="18"/>
        <v>8841</v>
      </c>
      <c r="I138" s="28">
        <v>1150</v>
      </c>
      <c r="J138" s="28"/>
      <c r="K138" s="15"/>
      <c r="L138" s="15"/>
      <c r="M138" s="46">
        <f>((63385+23358)-1837)</f>
        <v>84906</v>
      </c>
      <c r="N138" s="47"/>
      <c r="O138" s="15"/>
      <c r="P138" s="15"/>
      <c r="Q138" s="54"/>
      <c r="R138" s="54"/>
      <c r="S138" s="15"/>
      <c r="T138" s="15"/>
      <c r="U138" s="65"/>
      <c r="V138" s="65"/>
      <c r="W138" s="15"/>
      <c r="X138" s="15"/>
      <c r="Y138" s="77">
        <f>100327</f>
        <v>100327</v>
      </c>
      <c r="Z138" s="77"/>
      <c r="AA138" s="15"/>
      <c r="AB138" s="15"/>
      <c r="AC138" s="69">
        <f t="shared" si="19"/>
        <v>186383</v>
      </c>
      <c r="AD138" s="69">
        <f t="shared" si="19"/>
        <v>0</v>
      </c>
      <c r="AE138" s="70"/>
      <c r="AF138" s="70">
        <f t="shared" si="11"/>
        <v>195224</v>
      </c>
      <c r="BH138" s="148"/>
    </row>
    <row r="139" spans="1:60" ht="28.5" customHeight="1" hidden="1">
      <c r="A139" s="1">
        <v>1819</v>
      </c>
      <c r="B139" s="117" t="s">
        <v>168</v>
      </c>
      <c r="C139" s="120">
        <v>9952</v>
      </c>
      <c r="D139" s="3"/>
      <c r="E139" s="68"/>
      <c r="F139" s="3"/>
      <c r="G139" s="68"/>
      <c r="H139" s="3">
        <f t="shared" si="18"/>
        <v>9952</v>
      </c>
      <c r="I139" s="28"/>
      <c r="J139" s="28"/>
      <c r="K139" s="15"/>
      <c r="L139" s="15"/>
      <c r="M139" s="46"/>
      <c r="N139" s="47"/>
      <c r="O139" s="15"/>
      <c r="P139" s="15"/>
      <c r="Q139" s="54"/>
      <c r="R139" s="54"/>
      <c r="S139" s="15"/>
      <c r="T139" s="15"/>
      <c r="U139" s="65"/>
      <c r="V139" s="65"/>
      <c r="W139" s="15"/>
      <c r="X139" s="15"/>
      <c r="Y139" s="77"/>
      <c r="Z139" s="77"/>
      <c r="AA139" s="15"/>
      <c r="AB139" s="15"/>
      <c r="AC139" s="69">
        <f t="shared" si="19"/>
        <v>0</v>
      </c>
      <c r="AD139" s="69">
        <f t="shared" si="19"/>
        <v>0</v>
      </c>
      <c r="AE139" s="70"/>
      <c r="AF139" s="70">
        <f t="shared" si="11"/>
        <v>9952</v>
      </c>
      <c r="BH139" s="148"/>
    </row>
    <row r="140" spans="1:60" ht="28.5" customHeight="1" hidden="1">
      <c r="A140" s="1">
        <v>1821</v>
      </c>
      <c r="B140" s="117" t="s">
        <v>169</v>
      </c>
      <c r="C140" s="120">
        <v>1588</v>
      </c>
      <c r="D140" s="3"/>
      <c r="E140" s="68"/>
      <c r="F140" s="3"/>
      <c r="G140" s="68"/>
      <c r="H140" s="3">
        <f t="shared" si="18"/>
        <v>1588</v>
      </c>
      <c r="I140" s="28"/>
      <c r="J140" s="28"/>
      <c r="K140" s="15"/>
      <c r="L140" s="15"/>
      <c r="M140" s="46"/>
      <c r="N140" s="47"/>
      <c r="O140" s="15"/>
      <c r="P140" s="15"/>
      <c r="Q140" s="54"/>
      <c r="R140" s="54"/>
      <c r="S140" s="15"/>
      <c r="T140" s="15"/>
      <c r="U140" s="65"/>
      <c r="V140" s="65"/>
      <c r="W140" s="15"/>
      <c r="X140" s="15"/>
      <c r="Y140" s="77"/>
      <c r="Z140" s="77"/>
      <c r="AA140" s="15"/>
      <c r="AB140" s="15"/>
      <c r="AC140" s="69">
        <f t="shared" si="19"/>
        <v>0</v>
      </c>
      <c r="AD140" s="69">
        <f t="shared" si="19"/>
        <v>0</v>
      </c>
      <c r="AE140" s="70"/>
      <c r="AF140" s="70">
        <f t="shared" si="11"/>
        <v>1588</v>
      </c>
      <c r="BH140" s="148"/>
    </row>
    <row r="141" spans="1:60" ht="28.5" customHeight="1" hidden="1">
      <c r="A141" s="1">
        <v>1822</v>
      </c>
      <c r="B141" s="117" t="s">
        <v>170</v>
      </c>
      <c r="C141" s="120">
        <v>18333</v>
      </c>
      <c r="D141" s="3"/>
      <c r="E141" s="68"/>
      <c r="F141" s="3"/>
      <c r="G141" s="68"/>
      <c r="H141" s="3">
        <f t="shared" si="18"/>
        <v>18333</v>
      </c>
      <c r="I141" s="28"/>
      <c r="J141" s="28"/>
      <c r="K141" s="15"/>
      <c r="L141" s="15"/>
      <c r="M141" s="46"/>
      <c r="N141" s="47"/>
      <c r="O141" s="15"/>
      <c r="P141" s="15"/>
      <c r="Q141" s="54"/>
      <c r="R141" s="54"/>
      <c r="S141" s="15"/>
      <c r="T141" s="15"/>
      <c r="U141" s="65"/>
      <c r="V141" s="65"/>
      <c r="W141" s="15"/>
      <c r="X141" s="15"/>
      <c r="Y141" s="77"/>
      <c r="Z141" s="77"/>
      <c r="AA141" s="15"/>
      <c r="AB141" s="15"/>
      <c r="AC141" s="69">
        <f t="shared" si="19"/>
        <v>0</v>
      </c>
      <c r="AD141" s="69">
        <f t="shared" si="19"/>
        <v>0</v>
      </c>
      <c r="AE141" s="70"/>
      <c r="AF141" s="70">
        <f t="shared" si="11"/>
        <v>18333</v>
      </c>
      <c r="BH141" s="148"/>
    </row>
    <row r="142" spans="1:60" ht="28.5" customHeight="1" hidden="1">
      <c r="A142" s="1">
        <v>1836</v>
      </c>
      <c r="B142" s="117" t="s">
        <v>171</v>
      </c>
      <c r="C142" s="120"/>
      <c r="D142" s="3"/>
      <c r="E142" s="68"/>
      <c r="F142" s="3"/>
      <c r="G142" s="68"/>
      <c r="H142" s="3">
        <f t="shared" si="18"/>
        <v>0</v>
      </c>
      <c r="I142" s="28"/>
      <c r="J142" s="28"/>
      <c r="K142" s="15"/>
      <c r="L142" s="15"/>
      <c r="M142" s="46"/>
      <c r="N142" s="47"/>
      <c r="O142" s="15"/>
      <c r="P142" s="15"/>
      <c r="Q142" s="54"/>
      <c r="R142" s="54"/>
      <c r="S142" s="15"/>
      <c r="T142" s="15"/>
      <c r="U142" s="65"/>
      <c r="V142" s="65"/>
      <c r="W142" s="15"/>
      <c r="X142" s="15"/>
      <c r="Y142" s="77"/>
      <c r="Z142" s="77"/>
      <c r="AA142" s="15"/>
      <c r="AB142" s="15"/>
      <c r="AC142" s="69">
        <f t="shared" si="19"/>
        <v>0</v>
      </c>
      <c r="AD142" s="69">
        <f t="shared" si="19"/>
        <v>0</v>
      </c>
      <c r="AE142" s="70"/>
      <c r="AF142" s="70">
        <f t="shared" si="11"/>
        <v>0</v>
      </c>
      <c r="BH142" s="148"/>
    </row>
    <row r="143" spans="1:60" ht="39" customHeight="1" hidden="1">
      <c r="A143" s="1">
        <v>1837</v>
      </c>
      <c r="B143" s="117" t="s">
        <v>173</v>
      </c>
      <c r="C143" s="120">
        <v>2683</v>
      </c>
      <c r="D143" s="3"/>
      <c r="E143" s="68"/>
      <c r="F143" s="3"/>
      <c r="G143" s="68"/>
      <c r="H143" s="3">
        <f t="shared" si="18"/>
        <v>2683</v>
      </c>
      <c r="I143" s="28"/>
      <c r="J143" s="28"/>
      <c r="K143" s="15"/>
      <c r="L143" s="15"/>
      <c r="M143" s="46"/>
      <c r="N143" s="47"/>
      <c r="O143" s="15"/>
      <c r="P143" s="15"/>
      <c r="Q143" s="54"/>
      <c r="R143" s="54"/>
      <c r="S143" s="15"/>
      <c r="T143" s="15"/>
      <c r="U143" s="65"/>
      <c r="V143" s="65"/>
      <c r="W143" s="15"/>
      <c r="X143" s="15"/>
      <c r="Y143" s="77"/>
      <c r="Z143" s="77"/>
      <c r="AA143" s="15"/>
      <c r="AB143" s="15"/>
      <c r="AC143" s="69">
        <f t="shared" si="19"/>
        <v>0</v>
      </c>
      <c r="AD143" s="69">
        <f t="shared" si="19"/>
        <v>0</v>
      </c>
      <c r="AE143" s="70"/>
      <c r="AF143" s="70">
        <f t="shared" si="11"/>
        <v>2683</v>
      </c>
      <c r="BH143" s="148"/>
    </row>
    <row r="144" spans="1:60" ht="28.5" customHeight="1" hidden="1">
      <c r="A144" s="1">
        <v>1838</v>
      </c>
      <c r="B144" s="117" t="s">
        <v>174</v>
      </c>
      <c r="C144" s="120">
        <v>786</v>
      </c>
      <c r="D144" s="3"/>
      <c r="E144" s="68"/>
      <c r="F144" s="3"/>
      <c r="G144" s="68"/>
      <c r="H144" s="3">
        <f t="shared" si="18"/>
        <v>786</v>
      </c>
      <c r="I144" s="28"/>
      <c r="J144" s="28"/>
      <c r="K144" s="15"/>
      <c r="L144" s="15"/>
      <c r="M144" s="46"/>
      <c r="N144" s="47"/>
      <c r="O144" s="15"/>
      <c r="P144" s="15"/>
      <c r="Q144" s="54"/>
      <c r="R144" s="54"/>
      <c r="S144" s="15"/>
      <c r="T144" s="15"/>
      <c r="U144" s="65"/>
      <c r="V144" s="65"/>
      <c r="W144" s="15"/>
      <c r="X144" s="15"/>
      <c r="Y144" s="77"/>
      <c r="Z144" s="77"/>
      <c r="AA144" s="15"/>
      <c r="AB144" s="15"/>
      <c r="AC144" s="69">
        <f t="shared" si="19"/>
        <v>0</v>
      </c>
      <c r="AD144" s="69">
        <f t="shared" si="19"/>
        <v>0</v>
      </c>
      <c r="AE144" s="70"/>
      <c r="AF144" s="70">
        <f t="shared" si="11"/>
        <v>786</v>
      </c>
      <c r="BH144" s="148"/>
    </row>
    <row r="145" spans="1:60" ht="28.5" customHeight="1" hidden="1">
      <c r="A145" s="1">
        <v>1839</v>
      </c>
      <c r="B145" s="117" t="s">
        <v>583</v>
      </c>
      <c r="C145" s="120"/>
      <c r="D145" s="3"/>
      <c r="E145" s="68"/>
      <c r="F145" s="3"/>
      <c r="G145" s="68"/>
      <c r="H145" s="3">
        <f t="shared" si="18"/>
        <v>0</v>
      </c>
      <c r="I145" s="28"/>
      <c r="J145" s="28"/>
      <c r="K145" s="15"/>
      <c r="L145" s="15"/>
      <c r="M145" s="46"/>
      <c r="N145" s="47"/>
      <c r="O145" s="15"/>
      <c r="P145" s="15"/>
      <c r="Q145" s="54"/>
      <c r="R145" s="54"/>
      <c r="S145" s="15"/>
      <c r="T145" s="15"/>
      <c r="U145" s="65"/>
      <c r="V145" s="65"/>
      <c r="W145" s="15"/>
      <c r="X145" s="15"/>
      <c r="Y145" s="77"/>
      <c r="Z145" s="77"/>
      <c r="AA145" s="15"/>
      <c r="AB145" s="15"/>
      <c r="AC145" s="69">
        <f t="shared" si="19"/>
        <v>0</v>
      </c>
      <c r="AD145" s="69">
        <f t="shared" si="19"/>
        <v>0</v>
      </c>
      <c r="AE145" s="70"/>
      <c r="AF145" s="70">
        <f t="shared" si="11"/>
        <v>0</v>
      </c>
      <c r="BH145" s="148"/>
    </row>
    <row r="146" spans="1:60" ht="28.5" customHeight="1" hidden="1">
      <c r="A146" s="1">
        <v>1842</v>
      </c>
      <c r="B146" s="117" t="s">
        <v>175</v>
      </c>
      <c r="C146" s="120"/>
      <c r="D146" s="3"/>
      <c r="E146" s="68"/>
      <c r="F146" s="3"/>
      <c r="G146" s="68"/>
      <c r="H146" s="3">
        <f t="shared" si="18"/>
        <v>0</v>
      </c>
      <c r="I146" s="28"/>
      <c r="J146" s="28"/>
      <c r="K146" s="15"/>
      <c r="L146" s="15"/>
      <c r="M146" s="46"/>
      <c r="N146" s="47"/>
      <c r="O146" s="15"/>
      <c r="P146" s="15"/>
      <c r="Q146" s="54"/>
      <c r="R146" s="54"/>
      <c r="S146" s="15"/>
      <c r="T146" s="15"/>
      <c r="U146" s="65"/>
      <c r="V146" s="65"/>
      <c r="W146" s="15"/>
      <c r="X146" s="15"/>
      <c r="Y146" s="77"/>
      <c r="Z146" s="77"/>
      <c r="AA146" s="15"/>
      <c r="AB146" s="15"/>
      <c r="AC146" s="69">
        <f t="shared" si="19"/>
        <v>0</v>
      </c>
      <c r="AD146" s="69">
        <f t="shared" si="19"/>
        <v>0</v>
      </c>
      <c r="AE146" s="70"/>
      <c r="AF146" s="70">
        <f t="shared" si="11"/>
        <v>0</v>
      </c>
      <c r="BH146" s="148"/>
    </row>
    <row r="147" spans="1:60" ht="28.5" customHeight="1" hidden="1">
      <c r="A147" s="1">
        <v>1851</v>
      </c>
      <c r="B147" s="117" t="s">
        <v>176</v>
      </c>
      <c r="C147" s="120">
        <v>1009904</v>
      </c>
      <c r="D147" s="3"/>
      <c r="E147" s="68"/>
      <c r="F147" s="3"/>
      <c r="G147" s="68" t="s">
        <v>10</v>
      </c>
      <c r="H147" s="3">
        <f t="shared" si="18"/>
        <v>1009904</v>
      </c>
      <c r="I147" s="28">
        <v>355</v>
      </c>
      <c r="J147" s="28"/>
      <c r="K147" s="15"/>
      <c r="L147" s="15"/>
      <c r="M147" s="46">
        <v>862</v>
      </c>
      <c r="N147" s="47"/>
      <c r="O147" s="15"/>
      <c r="P147" s="15"/>
      <c r="Q147" s="54">
        <v>2627</v>
      </c>
      <c r="R147" s="54"/>
      <c r="S147" s="15"/>
      <c r="T147" s="15"/>
      <c r="U147" s="65">
        <v>80</v>
      </c>
      <c r="V147" s="65"/>
      <c r="W147" s="15"/>
      <c r="X147" s="15"/>
      <c r="Y147" s="77">
        <v>1506</v>
      </c>
      <c r="Z147" s="77"/>
      <c r="AA147" s="15"/>
      <c r="AB147" s="15"/>
      <c r="AC147" s="69">
        <f t="shared" si="19"/>
        <v>5430</v>
      </c>
      <c r="AD147" s="69">
        <f t="shared" si="19"/>
        <v>0</v>
      </c>
      <c r="AE147" s="70"/>
      <c r="AF147" s="6">
        <f t="shared" si="11"/>
        <v>1015334</v>
      </c>
      <c r="BH147" s="148"/>
    </row>
    <row r="148" spans="1:60" ht="28.5" customHeight="1" hidden="1">
      <c r="A148" s="1">
        <v>1852</v>
      </c>
      <c r="B148" s="117" t="s">
        <v>541</v>
      </c>
      <c r="C148" s="120"/>
      <c r="D148" s="3"/>
      <c r="E148" s="68"/>
      <c r="F148" s="3"/>
      <c r="G148" s="68"/>
      <c r="H148" s="3">
        <f t="shared" si="18"/>
        <v>0</v>
      </c>
      <c r="I148" s="28"/>
      <c r="J148" s="28"/>
      <c r="K148" s="15"/>
      <c r="L148" s="15"/>
      <c r="M148" s="46"/>
      <c r="N148" s="47"/>
      <c r="O148" s="15"/>
      <c r="P148" s="15"/>
      <c r="Q148" s="54">
        <v>5</v>
      </c>
      <c r="R148" s="54"/>
      <c r="S148" s="15"/>
      <c r="T148" s="15"/>
      <c r="U148" s="65"/>
      <c r="V148" s="65"/>
      <c r="W148" s="15"/>
      <c r="X148" s="15"/>
      <c r="Y148" s="77"/>
      <c r="Z148" s="77"/>
      <c r="AA148" s="15"/>
      <c r="AB148" s="15"/>
      <c r="AC148" s="69">
        <f t="shared" si="19"/>
        <v>5</v>
      </c>
      <c r="AD148" s="69">
        <f t="shared" si="19"/>
        <v>0</v>
      </c>
      <c r="AE148" s="70"/>
      <c r="AF148" s="70">
        <f t="shared" si="11"/>
        <v>5</v>
      </c>
      <c r="BH148" s="148"/>
    </row>
    <row r="149" spans="1:60" ht="48" customHeight="1" hidden="1">
      <c r="A149" s="1">
        <v>1854</v>
      </c>
      <c r="B149" s="117" t="s">
        <v>177</v>
      </c>
      <c r="C149" s="120">
        <v>25454</v>
      </c>
      <c r="D149" s="3"/>
      <c r="E149" s="68"/>
      <c r="F149" s="3"/>
      <c r="G149" s="68"/>
      <c r="H149" s="3">
        <f t="shared" si="18"/>
        <v>25454</v>
      </c>
      <c r="I149" s="28">
        <v>161</v>
      </c>
      <c r="J149" s="28"/>
      <c r="K149" s="15"/>
      <c r="L149" s="15"/>
      <c r="M149" s="46">
        <v>2212</v>
      </c>
      <c r="N149" s="47"/>
      <c r="O149" s="15"/>
      <c r="P149" s="15"/>
      <c r="Q149" s="54">
        <v>191</v>
      </c>
      <c r="R149" s="54"/>
      <c r="S149" s="15"/>
      <c r="T149" s="15"/>
      <c r="U149" s="65"/>
      <c r="V149" s="65"/>
      <c r="W149" s="15"/>
      <c r="X149" s="15"/>
      <c r="Y149" s="77"/>
      <c r="Z149" s="77"/>
      <c r="AA149" s="15"/>
      <c r="AB149" s="15"/>
      <c r="AC149" s="69">
        <f t="shared" si="19"/>
        <v>2564</v>
      </c>
      <c r="AD149" s="69">
        <f t="shared" si="19"/>
        <v>0</v>
      </c>
      <c r="AE149" s="70"/>
      <c r="AF149" s="70">
        <f t="shared" si="11"/>
        <v>28018</v>
      </c>
      <c r="BH149" s="148"/>
    </row>
    <row r="150" spans="1:60" ht="28.5" customHeight="1" hidden="1">
      <c r="A150" s="1">
        <v>1856</v>
      </c>
      <c r="B150" s="117" t="s">
        <v>178</v>
      </c>
      <c r="C150" s="120">
        <v>8452942</v>
      </c>
      <c r="D150" s="3"/>
      <c r="E150" s="68"/>
      <c r="F150" s="3"/>
      <c r="G150" s="68"/>
      <c r="H150" s="3">
        <f t="shared" si="18"/>
        <v>8452942</v>
      </c>
      <c r="I150" s="28">
        <v>17181</v>
      </c>
      <c r="J150" s="28"/>
      <c r="K150" s="15"/>
      <c r="L150" s="15"/>
      <c r="M150" s="46"/>
      <c r="N150" s="47"/>
      <c r="O150" s="15"/>
      <c r="P150" s="15"/>
      <c r="Q150" s="54">
        <v>505035</v>
      </c>
      <c r="R150" s="54"/>
      <c r="S150" s="15"/>
      <c r="T150" s="15"/>
      <c r="U150" s="65"/>
      <c r="V150" s="65"/>
      <c r="W150" s="15"/>
      <c r="X150" s="15"/>
      <c r="Y150" s="77"/>
      <c r="Z150" s="77"/>
      <c r="AA150" s="15"/>
      <c r="AB150" s="15"/>
      <c r="AC150" s="69">
        <f t="shared" si="19"/>
        <v>522216</v>
      </c>
      <c r="AD150" s="69">
        <f t="shared" si="19"/>
        <v>0</v>
      </c>
      <c r="AE150" s="70"/>
      <c r="AF150" s="70">
        <f t="shared" si="11"/>
        <v>8975158</v>
      </c>
      <c r="BH150" s="148"/>
    </row>
    <row r="151" spans="1:60" ht="42.75" customHeight="1" hidden="1">
      <c r="A151" s="1">
        <v>1860</v>
      </c>
      <c r="B151" s="117" t="s">
        <v>180</v>
      </c>
      <c r="C151" s="120">
        <v>1699819</v>
      </c>
      <c r="D151" s="3"/>
      <c r="E151" s="68"/>
      <c r="F151" s="3">
        <f>18440+4164+98721</f>
        <v>121325</v>
      </c>
      <c r="G151" s="68" t="s">
        <v>12</v>
      </c>
      <c r="H151" s="3">
        <f t="shared" si="18"/>
        <v>1578494</v>
      </c>
      <c r="I151" s="28">
        <v>13456</v>
      </c>
      <c r="J151" s="28"/>
      <c r="K151" s="15"/>
      <c r="L151" s="15"/>
      <c r="M151" s="88"/>
      <c r="N151" s="47"/>
      <c r="O151" s="15"/>
      <c r="P151" s="15"/>
      <c r="Q151" s="54">
        <v>65051</v>
      </c>
      <c r="R151" s="54"/>
      <c r="S151" s="15"/>
      <c r="T151" s="15"/>
      <c r="U151" s="65"/>
      <c r="V151" s="65"/>
      <c r="W151" s="15"/>
      <c r="X151" s="15"/>
      <c r="Y151" s="77"/>
      <c r="Z151" s="77"/>
      <c r="AA151" s="15"/>
      <c r="AB151" s="15"/>
      <c r="AC151" s="69">
        <f t="shared" si="19"/>
        <v>78507</v>
      </c>
      <c r="AD151" s="69">
        <f t="shared" si="19"/>
        <v>0</v>
      </c>
      <c r="AE151" s="70"/>
      <c r="AF151" s="70">
        <f t="shared" si="11"/>
        <v>1657001</v>
      </c>
      <c r="BH151" s="148"/>
    </row>
    <row r="152" spans="1:60" ht="40.5" customHeight="1" hidden="1">
      <c r="A152" s="1">
        <v>1867</v>
      </c>
      <c r="B152" s="117" t="s">
        <v>181</v>
      </c>
      <c r="C152" s="120">
        <v>238397</v>
      </c>
      <c r="D152" s="3"/>
      <c r="E152" s="68"/>
      <c r="F152" s="3"/>
      <c r="G152" s="68"/>
      <c r="H152" s="3">
        <f t="shared" si="18"/>
        <v>238397</v>
      </c>
      <c r="I152" s="28">
        <v>568</v>
      </c>
      <c r="J152" s="28"/>
      <c r="K152" s="15"/>
      <c r="L152" s="15"/>
      <c r="M152" s="46">
        <f>(97201+951)+2353</f>
        <v>100505</v>
      </c>
      <c r="N152" s="47"/>
      <c r="O152" s="15"/>
      <c r="P152" s="15"/>
      <c r="Q152" s="54">
        <v>65909</v>
      </c>
      <c r="R152" s="54"/>
      <c r="S152" s="15"/>
      <c r="T152" s="15"/>
      <c r="U152" s="65"/>
      <c r="V152" s="65"/>
      <c r="W152" s="15"/>
      <c r="X152" s="15"/>
      <c r="Y152" s="77">
        <v>5087</v>
      </c>
      <c r="Z152" s="77"/>
      <c r="AA152" s="15"/>
      <c r="AB152" s="15"/>
      <c r="AC152" s="69">
        <f t="shared" si="19"/>
        <v>172069</v>
      </c>
      <c r="AD152" s="69">
        <f t="shared" si="19"/>
        <v>0</v>
      </c>
      <c r="AE152" s="70"/>
      <c r="AF152" s="70">
        <f aca="true" t="shared" si="20" ref="AF152:AF162">H152+AC152-AD152</f>
        <v>410466</v>
      </c>
      <c r="BH152" s="148"/>
    </row>
    <row r="153" spans="1:60" ht="46.5" customHeight="1" hidden="1">
      <c r="A153" s="1">
        <v>1870</v>
      </c>
      <c r="B153" s="117" t="s">
        <v>183</v>
      </c>
      <c r="C153" s="120">
        <v>114058</v>
      </c>
      <c r="D153" s="3"/>
      <c r="E153" s="68"/>
      <c r="F153" s="3">
        <f>72217+3413</f>
        <v>75630</v>
      </c>
      <c r="G153" s="68" t="s">
        <v>250</v>
      </c>
      <c r="H153" s="3">
        <f t="shared" si="18"/>
        <v>38428</v>
      </c>
      <c r="I153" s="28"/>
      <c r="J153" s="28"/>
      <c r="K153" s="15"/>
      <c r="L153" s="26"/>
      <c r="M153" s="46"/>
      <c r="N153" s="47"/>
      <c r="O153" s="15"/>
      <c r="P153" s="26"/>
      <c r="Q153" s="56">
        <v>34217</v>
      </c>
      <c r="R153" s="56"/>
      <c r="S153" s="26"/>
      <c r="T153" s="26"/>
      <c r="U153" s="72"/>
      <c r="V153" s="72"/>
      <c r="W153" s="26"/>
      <c r="X153" s="26"/>
      <c r="Y153" s="77"/>
      <c r="Z153" s="77"/>
      <c r="AA153" s="26"/>
      <c r="AB153" s="26"/>
      <c r="AC153" s="69">
        <f t="shared" si="19"/>
        <v>34217</v>
      </c>
      <c r="AD153" s="69">
        <f t="shared" si="19"/>
        <v>0</v>
      </c>
      <c r="AE153" s="70"/>
      <c r="AF153" s="70">
        <f t="shared" si="20"/>
        <v>72645</v>
      </c>
      <c r="BH153" s="148"/>
    </row>
    <row r="154" spans="1:60" ht="46.5" customHeight="1" hidden="1">
      <c r="A154" s="1">
        <v>1877</v>
      </c>
      <c r="B154" s="117" t="s">
        <v>185</v>
      </c>
      <c r="C154" s="119">
        <v>-63982</v>
      </c>
      <c r="D154" s="3"/>
      <c r="E154" s="68"/>
      <c r="F154" s="3"/>
      <c r="G154" s="68"/>
      <c r="H154" s="3">
        <f t="shared" si="18"/>
        <v>-63982</v>
      </c>
      <c r="I154" s="28"/>
      <c r="J154" s="28"/>
      <c r="K154" s="15"/>
      <c r="L154" s="15"/>
      <c r="M154" s="46"/>
      <c r="N154" s="47"/>
      <c r="O154" s="15"/>
      <c r="P154" s="15"/>
      <c r="Q154" s="54"/>
      <c r="R154" s="54"/>
      <c r="S154" s="15"/>
      <c r="T154" s="15"/>
      <c r="U154" s="65"/>
      <c r="V154" s="65"/>
      <c r="W154" s="15"/>
      <c r="X154" s="15"/>
      <c r="Y154" s="77"/>
      <c r="Z154" s="77"/>
      <c r="AA154" s="15"/>
      <c r="AB154" s="15"/>
      <c r="AC154" s="69">
        <f t="shared" si="19"/>
        <v>0</v>
      </c>
      <c r="AD154" s="69">
        <f t="shared" si="19"/>
        <v>0</v>
      </c>
      <c r="AE154" s="70"/>
      <c r="AF154" s="70">
        <f t="shared" si="20"/>
        <v>-63982</v>
      </c>
      <c r="BH154" s="148"/>
    </row>
    <row r="155" spans="1:60" ht="48" customHeight="1" hidden="1">
      <c r="A155" s="1">
        <v>1878</v>
      </c>
      <c r="B155" s="117" t="s">
        <v>186</v>
      </c>
      <c r="C155" s="120">
        <v>-6019</v>
      </c>
      <c r="D155" s="3"/>
      <c r="E155" s="68"/>
      <c r="F155" s="3"/>
      <c r="G155" s="68"/>
      <c r="H155" s="3">
        <f t="shared" si="18"/>
        <v>-6019</v>
      </c>
      <c r="I155" s="28">
        <v>-8008</v>
      </c>
      <c r="J155" s="28"/>
      <c r="K155" s="15"/>
      <c r="L155" s="15"/>
      <c r="M155" s="46">
        <f>-9879-23358-951-29</f>
        <v>-34217</v>
      </c>
      <c r="N155" s="47"/>
      <c r="O155" s="15"/>
      <c r="P155" s="15"/>
      <c r="Q155" s="54">
        <v>-853</v>
      </c>
      <c r="R155" s="54"/>
      <c r="S155" s="15"/>
      <c r="T155" s="15"/>
      <c r="U155" s="65"/>
      <c r="V155" s="65"/>
      <c r="W155" s="15"/>
      <c r="X155" s="15"/>
      <c r="Y155" s="77"/>
      <c r="Z155" s="77"/>
      <c r="AA155" s="15"/>
      <c r="AB155" s="15"/>
      <c r="AC155" s="69">
        <f t="shared" si="19"/>
        <v>-43078</v>
      </c>
      <c r="AD155" s="69">
        <f t="shared" si="19"/>
        <v>0</v>
      </c>
      <c r="AE155" s="70"/>
      <c r="AF155" s="70">
        <f t="shared" si="20"/>
        <v>-49097</v>
      </c>
      <c r="BH155" s="148"/>
    </row>
    <row r="156" spans="1:60" ht="28.5" customHeight="1" hidden="1">
      <c r="A156" s="14">
        <v>1879</v>
      </c>
      <c r="B156" s="117" t="s">
        <v>599</v>
      </c>
      <c r="C156" s="118"/>
      <c r="D156" s="3"/>
      <c r="E156" s="68"/>
      <c r="F156" s="3"/>
      <c r="G156" s="68"/>
      <c r="H156" s="3">
        <f t="shared" si="18"/>
        <v>0</v>
      </c>
      <c r="I156" s="28"/>
      <c r="J156" s="28"/>
      <c r="K156" s="15"/>
      <c r="L156" s="15"/>
      <c r="M156" s="46"/>
      <c r="N156" s="47"/>
      <c r="O156" s="15"/>
      <c r="P156" s="15"/>
      <c r="Q156" s="54"/>
      <c r="R156" s="54"/>
      <c r="S156" s="15"/>
      <c r="T156" s="15"/>
      <c r="U156" s="65"/>
      <c r="V156" s="65"/>
      <c r="W156" s="15"/>
      <c r="X156" s="15"/>
      <c r="Y156" s="77"/>
      <c r="Z156" s="77"/>
      <c r="AA156" s="15"/>
      <c r="AB156" s="15"/>
      <c r="AC156" s="69">
        <f t="shared" si="19"/>
        <v>0</v>
      </c>
      <c r="AD156" s="69">
        <f t="shared" si="19"/>
        <v>0</v>
      </c>
      <c r="AE156" s="70"/>
      <c r="AF156" s="70">
        <f t="shared" si="20"/>
        <v>0</v>
      </c>
      <c r="BH156" s="148"/>
    </row>
    <row r="157" spans="1:60" ht="28.5" customHeight="1" hidden="1">
      <c r="A157" s="14">
        <v>1892</v>
      </c>
      <c r="B157" s="117" t="s">
        <v>120</v>
      </c>
      <c r="C157" s="118"/>
      <c r="D157" s="3"/>
      <c r="E157" s="68"/>
      <c r="F157" s="3"/>
      <c r="G157" s="68"/>
      <c r="H157" s="3">
        <f t="shared" si="18"/>
        <v>0</v>
      </c>
      <c r="I157" s="28"/>
      <c r="J157" s="28"/>
      <c r="K157" s="15"/>
      <c r="L157" s="15"/>
      <c r="M157" s="46"/>
      <c r="N157" s="47"/>
      <c r="O157" s="15"/>
      <c r="P157" s="15"/>
      <c r="Q157" s="54"/>
      <c r="R157" s="54"/>
      <c r="S157" s="15"/>
      <c r="T157" s="15"/>
      <c r="U157" s="65"/>
      <c r="V157" s="65"/>
      <c r="W157" s="15"/>
      <c r="X157" s="15"/>
      <c r="Y157" s="77"/>
      <c r="Z157" s="77"/>
      <c r="AA157" s="15"/>
      <c r="AB157" s="15"/>
      <c r="AC157" s="69">
        <f t="shared" si="19"/>
        <v>0</v>
      </c>
      <c r="AD157" s="69">
        <f t="shared" si="19"/>
        <v>0</v>
      </c>
      <c r="AE157" s="70"/>
      <c r="AF157" s="70">
        <f t="shared" si="20"/>
        <v>0</v>
      </c>
      <c r="BH157" s="148"/>
    </row>
    <row r="158" spans="1:60" ht="28.5" customHeight="1" hidden="1">
      <c r="A158" s="14">
        <v>1895</v>
      </c>
      <c r="B158" s="117" t="s">
        <v>430</v>
      </c>
      <c r="C158" s="118">
        <v>186449</v>
      </c>
      <c r="D158" s="3"/>
      <c r="E158" s="68"/>
      <c r="F158" s="3"/>
      <c r="G158" s="68"/>
      <c r="H158" s="3">
        <f t="shared" si="18"/>
        <v>186449</v>
      </c>
      <c r="I158" s="28"/>
      <c r="J158" s="28"/>
      <c r="K158" s="15"/>
      <c r="L158" s="15"/>
      <c r="M158" s="46"/>
      <c r="N158" s="47"/>
      <c r="O158" s="15"/>
      <c r="P158" s="15"/>
      <c r="Q158" s="54"/>
      <c r="R158" s="54"/>
      <c r="S158" s="15"/>
      <c r="T158" s="15"/>
      <c r="U158" s="65"/>
      <c r="V158" s="65"/>
      <c r="W158" s="15"/>
      <c r="X158" s="15"/>
      <c r="Y158" s="77"/>
      <c r="Z158" s="77"/>
      <c r="AA158" s="15"/>
      <c r="AB158" s="15"/>
      <c r="AC158" s="69">
        <f t="shared" si="19"/>
        <v>0</v>
      </c>
      <c r="AD158" s="69">
        <f t="shared" si="19"/>
        <v>0</v>
      </c>
      <c r="AE158" s="70"/>
      <c r="AF158" s="70">
        <f t="shared" si="20"/>
        <v>186449</v>
      </c>
      <c r="BH158" s="148"/>
    </row>
    <row r="159" spans="1:60" ht="28.5" customHeight="1" hidden="1">
      <c r="A159" s="12"/>
      <c r="B159" s="117" t="s">
        <v>179</v>
      </c>
      <c r="C159" s="118">
        <v>0</v>
      </c>
      <c r="D159" s="5"/>
      <c r="E159" s="67"/>
      <c r="F159" s="5"/>
      <c r="G159" s="67"/>
      <c r="H159" s="5">
        <v>0</v>
      </c>
      <c r="I159" s="39">
        <v>0</v>
      </c>
      <c r="J159" s="39">
        <v>0</v>
      </c>
      <c r="K159" s="17">
        <v>0</v>
      </c>
      <c r="L159" s="17">
        <v>0</v>
      </c>
      <c r="M159" s="17">
        <v>5255815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/>
      <c r="V159" s="17"/>
      <c r="W159" s="17"/>
      <c r="X159" s="17"/>
      <c r="Y159" s="7"/>
      <c r="Z159" s="7"/>
      <c r="AA159" s="17"/>
      <c r="AB159" s="17"/>
      <c r="AC159" s="5">
        <f t="shared" si="19"/>
        <v>5255815</v>
      </c>
      <c r="AD159" s="5">
        <f t="shared" si="19"/>
        <v>0</v>
      </c>
      <c r="AE159" s="5"/>
      <c r="AF159" s="5">
        <f t="shared" si="20"/>
        <v>5255815</v>
      </c>
      <c r="BH159" s="148"/>
    </row>
    <row r="160" spans="1:60" ht="28.5" customHeight="1" hidden="1">
      <c r="A160" s="1"/>
      <c r="B160" s="117"/>
      <c r="C160" s="118"/>
      <c r="D160" s="3"/>
      <c r="E160" s="68"/>
      <c r="F160" s="3"/>
      <c r="G160" s="68"/>
      <c r="H160" s="3"/>
      <c r="I160" s="28"/>
      <c r="J160" s="28"/>
      <c r="K160" s="15"/>
      <c r="L160" s="15"/>
      <c r="M160" s="15"/>
      <c r="N160" s="16"/>
      <c r="O160" s="15"/>
      <c r="P160" s="15"/>
      <c r="Q160" s="54"/>
      <c r="R160" s="54"/>
      <c r="S160" s="15"/>
      <c r="T160" s="15"/>
      <c r="U160" s="65"/>
      <c r="V160" s="65"/>
      <c r="W160" s="15"/>
      <c r="X160" s="15"/>
      <c r="Y160" s="77"/>
      <c r="Z160" s="77"/>
      <c r="AA160" s="15"/>
      <c r="AB160" s="15"/>
      <c r="AC160" s="69">
        <f t="shared" si="19"/>
        <v>0</v>
      </c>
      <c r="AD160" s="69">
        <f t="shared" si="19"/>
        <v>0</v>
      </c>
      <c r="AE160" s="70"/>
      <c r="AF160" s="70"/>
      <c r="BH160" s="148"/>
    </row>
    <row r="161" spans="1:60" ht="22.5" customHeight="1">
      <c r="A161" s="12"/>
      <c r="B161" s="117" t="s">
        <v>187</v>
      </c>
      <c r="C161" s="120">
        <f>193210</f>
        <v>193210</v>
      </c>
      <c r="D161" s="5">
        <f>SUM(D162)</f>
        <v>0</v>
      </c>
      <c r="E161" s="67"/>
      <c r="F161" s="5">
        <f>SUM(F162)</f>
        <v>0</v>
      </c>
      <c r="G161" s="67"/>
      <c r="H161" s="5">
        <f>SUM(H162)</f>
        <v>193210</v>
      </c>
      <c r="I161" s="36">
        <f>SUM(I162)</f>
        <v>0</v>
      </c>
      <c r="J161" s="36"/>
      <c r="K161" s="17">
        <f>SUM(K162)</f>
        <v>0</v>
      </c>
      <c r="L161" s="17">
        <f>SUM(L162)</f>
        <v>0</v>
      </c>
      <c r="M161" s="17">
        <f>SUM(M156)</f>
        <v>0</v>
      </c>
      <c r="N161" s="17">
        <f aca="true" t="shared" si="21" ref="N161:AB161">SUM(N162)</f>
        <v>0</v>
      </c>
      <c r="O161" s="17">
        <f t="shared" si="21"/>
        <v>0</v>
      </c>
      <c r="P161" s="17">
        <f t="shared" si="21"/>
        <v>0</v>
      </c>
      <c r="Q161" s="17">
        <f t="shared" si="21"/>
        <v>0</v>
      </c>
      <c r="R161" s="17">
        <f t="shared" si="21"/>
        <v>0</v>
      </c>
      <c r="S161" s="17">
        <f t="shared" si="21"/>
        <v>0</v>
      </c>
      <c r="T161" s="17">
        <f t="shared" si="21"/>
        <v>0</v>
      </c>
      <c r="U161" s="17">
        <f t="shared" si="21"/>
        <v>0</v>
      </c>
      <c r="V161" s="17">
        <f t="shared" si="21"/>
        <v>0</v>
      </c>
      <c r="W161" s="17">
        <f t="shared" si="21"/>
        <v>0</v>
      </c>
      <c r="X161" s="17">
        <f t="shared" si="21"/>
        <v>0</v>
      </c>
      <c r="Y161" s="7">
        <f t="shared" si="21"/>
        <v>0</v>
      </c>
      <c r="Z161" s="7">
        <f t="shared" si="21"/>
        <v>0</v>
      </c>
      <c r="AA161" s="17">
        <f t="shared" si="21"/>
        <v>0</v>
      </c>
      <c r="AB161" s="17">
        <f t="shared" si="21"/>
        <v>0</v>
      </c>
      <c r="AC161" s="5">
        <f t="shared" si="19"/>
        <v>0</v>
      </c>
      <c r="AD161" s="5">
        <f t="shared" si="19"/>
        <v>0</v>
      </c>
      <c r="AE161" s="17">
        <f>SUM(AE162)</f>
        <v>0</v>
      </c>
      <c r="AF161" s="5">
        <f t="shared" si="20"/>
        <v>193210</v>
      </c>
      <c r="BH161" s="148">
        <v>193210</v>
      </c>
    </row>
    <row r="162" spans="1:60" ht="117" customHeight="1" hidden="1">
      <c r="A162" s="1">
        <v>1857</v>
      </c>
      <c r="B162" s="2" t="s">
        <v>188</v>
      </c>
      <c r="C162" s="3">
        <v>193210</v>
      </c>
      <c r="D162" s="3"/>
      <c r="E162" s="68"/>
      <c r="F162" s="3"/>
      <c r="G162" s="68"/>
      <c r="H162" s="3">
        <f>C162+D162-F162</f>
        <v>193210</v>
      </c>
      <c r="I162" s="28"/>
      <c r="J162" s="28"/>
      <c r="K162" s="15"/>
      <c r="L162" s="15"/>
      <c r="M162" s="150"/>
      <c r="N162" s="47"/>
      <c r="O162" s="15"/>
      <c r="P162" s="15"/>
      <c r="Q162" s="54"/>
      <c r="R162" s="54"/>
      <c r="S162" s="15"/>
      <c r="T162" s="15"/>
      <c r="U162" s="65"/>
      <c r="V162" s="65"/>
      <c r="W162" s="15"/>
      <c r="X162" s="15"/>
      <c r="Y162" s="77"/>
      <c r="Z162" s="77"/>
      <c r="AA162" s="15"/>
      <c r="AB162" s="15"/>
      <c r="AC162" s="69">
        <f t="shared" si="19"/>
        <v>0</v>
      </c>
      <c r="AD162" s="69">
        <f t="shared" si="19"/>
        <v>0</v>
      </c>
      <c r="AE162" s="70"/>
      <c r="AF162" s="70">
        <f t="shared" si="20"/>
        <v>193210</v>
      </c>
      <c r="BH162" s="157"/>
    </row>
    <row r="163" spans="1:60" ht="20.25" customHeight="1">
      <c r="A163" s="14"/>
      <c r="B163" s="129" t="s">
        <v>189</v>
      </c>
      <c r="C163" s="130">
        <f>C161+C120+C108+C97+C93+C68+C60+C6+C34+C35</f>
        <v>1046115035</v>
      </c>
      <c r="D163" s="9">
        <f>D161+D120+D108+D97+D93+D68+D60+D6+D34+D35</f>
        <v>72217</v>
      </c>
      <c r="E163" s="89"/>
      <c r="F163" s="9">
        <f>F161+F120+F108+F97+F93+F68+F60+F6+F34+F35</f>
        <v>196955</v>
      </c>
      <c r="G163" s="89"/>
      <c r="H163" s="9">
        <f>H161+H120+H108+H97+H93+H68+H60+H6+H34+H35</f>
        <v>985225646</v>
      </c>
      <c r="I163" s="37">
        <f>I161+I120+I108+I97+I93+I68+I60+I6+I34+I35</f>
        <v>8456366</v>
      </c>
      <c r="J163" s="37">
        <f>J161+J120+J108+J97+J93+J68+J60+J6+J34+J35</f>
        <v>0</v>
      </c>
      <c r="K163" s="19">
        <f>K161+K120+K108+K97+K93+K68+K60+K6+K34+K35</f>
        <v>0</v>
      </c>
      <c r="L163" s="19">
        <f>L161+L120+L108+L97+L93+L68+L60+L6+L34+L35</f>
        <v>2122448</v>
      </c>
      <c r="M163" s="19">
        <f>M161+M120+M108+M97+M93+M68+M60+M6+M34+M35+M159</f>
        <v>8707686</v>
      </c>
      <c r="N163" s="19">
        <f aca="true" t="shared" si="22" ref="N163:AB163">N161+N120+N108+N97+N93+N68+N60+N6+N34+N35</f>
        <v>0</v>
      </c>
      <c r="O163" s="19">
        <f t="shared" si="22"/>
        <v>0</v>
      </c>
      <c r="P163" s="19">
        <f t="shared" si="22"/>
        <v>2192813</v>
      </c>
      <c r="Q163" s="19">
        <f t="shared" si="22"/>
        <v>6330969</v>
      </c>
      <c r="R163" s="19">
        <f t="shared" si="22"/>
        <v>0</v>
      </c>
      <c r="S163" s="19">
        <f t="shared" si="22"/>
        <v>0</v>
      </c>
      <c r="T163" s="19">
        <f t="shared" si="22"/>
        <v>4625910</v>
      </c>
      <c r="U163" s="19">
        <f t="shared" si="22"/>
        <v>70984138</v>
      </c>
      <c r="V163" s="19">
        <f t="shared" si="22"/>
        <v>0</v>
      </c>
      <c r="W163" s="19">
        <f t="shared" si="22"/>
        <v>0</v>
      </c>
      <c r="X163" s="19">
        <f t="shared" si="22"/>
        <v>71293461</v>
      </c>
      <c r="Y163" s="64">
        <f t="shared" si="22"/>
        <v>841752</v>
      </c>
      <c r="Z163" s="64">
        <f t="shared" si="22"/>
        <v>0</v>
      </c>
      <c r="AA163" s="19">
        <f t="shared" si="22"/>
        <v>122938</v>
      </c>
      <c r="AB163" s="19">
        <f t="shared" si="22"/>
        <v>361692</v>
      </c>
      <c r="AC163" s="69">
        <f t="shared" si="19"/>
        <v>95443849</v>
      </c>
      <c r="AD163" s="69">
        <f t="shared" si="19"/>
        <v>80596324</v>
      </c>
      <c r="AE163" s="19">
        <f>AE161+AE120+AE108+AE97+AE93+AE68+AE60+AE6+AE34+AE35</f>
        <v>94</v>
      </c>
      <c r="AF163" s="9">
        <f>H163+AC163-AD163+AE163</f>
        <v>1000073265</v>
      </c>
      <c r="BH163" s="159">
        <f>SUM(BH6:BH161)</f>
        <v>353220233</v>
      </c>
    </row>
    <row r="164" spans="1:60" ht="21" customHeight="1">
      <c r="A164" s="14"/>
      <c r="B164" s="131" t="s">
        <v>518</v>
      </c>
      <c r="C164" s="130"/>
      <c r="D164" s="90"/>
      <c r="E164" s="89"/>
      <c r="F164" s="9"/>
      <c r="G164" s="89"/>
      <c r="H164" s="9">
        <f>H161+H159+H120+H108+H97+H93+H68+H60+H35+H34+H6</f>
        <v>985225646</v>
      </c>
      <c r="I164" s="37"/>
      <c r="J164" s="37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77"/>
      <c r="Z164" s="77"/>
      <c r="AA164" s="19"/>
      <c r="AB164" s="19"/>
      <c r="AC164" s="69">
        <f t="shared" si="19"/>
        <v>0</v>
      </c>
      <c r="AD164" s="69">
        <f t="shared" si="19"/>
        <v>0</v>
      </c>
      <c r="AE164" s="9"/>
      <c r="AF164" s="9"/>
      <c r="BH164" s="158"/>
    </row>
    <row r="165" spans="1:60" ht="23.25" customHeight="1">
      <c r="A165" s="12"/>
      <c r="B165" s="117" t="s">
        <v>190</v>
      </c>
      <c r="C165" s="120">
        <f>370057834</f>
        <v>370057834</v>
      </c>
      <c r="D165" s="5">
        <f>SUM(D166:D190)</f>
        <v>1136231</v>
      </c>
      <c r="E165" s="67"/>
      <c r="F165" s="5">
        <f>SUM(F166:F190)</f>
        <v>2503</v>
      </c>
      <c r="G165" s="67"/>
      <c r="H165" s="5">
        <f>SUM(H166:H190)</f>
        <v>302114351</v>
      </c>
      <c r="I165" s="36">
        <f aca="true" t="shared" si="23" ref="I165:AB165">SUM(I166:I190)</f>
        <v>0</v>
      </c>
      <c r="J165" s="36">
        <f t="shared" si="23"/>
        <v>2537694</v>
      </c>
      <c r="K165" s="17">
        <f t="shared" si="23"/>
        <v>477386</v>
      </c>
      <c r="L165" s="17">
        <f t="shared" si="23"/>
        <v>0</v>
      </c>
      <c r="M165" s="17">
        <f t="shared" si="23"/>
        <v>0</v>
      </c>
      <c r="N165" s="17">
        <f t="shared" si="23"/>
        <v>245442</v>
      </c>
      <c r="O165" s="17">
        <f t="shared" si="23"/>
        <v>202090</v>
      </c>
      <c r="P165" s="17">
        <f t="shared" si="23"/>
        <v>0</v>
      </c>
      <c r="Q165" s="17">
        <f t="shared" si="23"/>
        <v>0</v>
      </c>
      <c r="R165" s="17">
        <f t="shared" si="23"/>
        <v>4237050</v>
      </c>
      <c r="S165" s="17">
        <f t="shared" si="23"/>
        <v>3119200</v>
      </c>
      <c r="T165" s="17">
        <f t="shared" si="23"/>
        <v>0</v>
      </c>
      <c r="U165" s="17">
        <f t="shared" si="23"/>
        <v>0</v>
      </c>
      <c r="V165" s="17">
        <f t="shared" si="23"/>
        <v>70955196</v>
      </c>
      <c r="W165" s="17">
        <f t="shared" si="23"/>
        <v>317497</v>
      </c>
      <c r="X165" s="17">
        <f t="shared" si="23"/>
        <v>0</v>
      </c>
      <c r="Y165" s="17">
        <f t="shared" si="23"/>
        <v>0</v>
      </c>
      <c r="Z165" s="7">
        <f t="shared" si="23"/>
        <v>0</v>
      </c>
      <c r="AA165" s="17">
        <f t="shared" si="23"/>
        <v>0</v>
      </c>
      <c r="AB165" s="17">
        <f t="shared" si="23"/>
        <v>0</v>
      </c>
      <c r="AC165" s="5">
        <f t="shared" si="19"/>
        <v>4116173</v>
      </c>
      <c r="AD165" s="5">
        <f t="shared" si="19"/>
        <v>77975382</v>
      </c>
      <c r="AE165" s="17">
        <f>SUM(AE166:AE190)</f>
        <v>0</v>
      </c>
      <c r="AF165" s="10">
        <f>H165+AD165-AC165</f>
        <v>375973560</v>
      </c>
      <c r="BH165" s="148">
        <v>81649987</v>
      </c>
    </row>
    <row r="166" spans="1:60" ht="28.5" customHeight="1" hidden="1">
      <c r="A166" s="1">
        <v>2013</v>
      </c>
      <c r="B166" s="117" t="s">
        <v>191</v>
      </c>
      <c r="C166" s="120">
        <v>141503</v>
      </c>
      <c r="D166" s="3"/>
      <c r="E166" s="68"/>
      <c r="F166" s="85">
        <f>2503</f>
        <v>2503</v>
      </c>
      <c r="G166" s="68" t="s">
        <v>457</v>
      </c>
      <c r="H166" s="3">
        <f>C166+F166-D166</f>
        <v>144006</v>
      </c>
      <c r="I166" s="28"/>
      <c r="J166" s="28">
        <v>4601</v>
      </c>
      <c r="K166" s="59">
        <f>2220+2669+19661+5605</f>
        <v>30155</v>
      </c>
      <c r="L166" s="15"/>
      <c r="M166" s="46"/>
      <c r="N166" s="47"/>
      <c r="O166" s="26"/>
      <c r="P166" s="15"/>
      <c r="Q166" s="54"/>
      <c r="R166" s="54">
        <v>385672</v>
      </c>
      <c r="S166" s="15">
        <f>385646+1030+19</f>
        <v>386695</v>
      </c>
      <c r="T166" s="15"/>
      <c r="U166" s="65"/>
      <c r="V166" s="65"/>
      <c r="W166" s="15"/>
      <c r="X166" s="15"/>
      <c r="Y166" s="77"/>
      <c r="Z166" s="77"/>
      <c r="AA166" s="15"/>
      <c r="AB166" s="15"/>
      <c r="AC166" s="69">
        <f t="shared" si="19"/>
        <v>416850</v>
      </c>
      <c r="AD166" s="69">
        <f t="shared" si="19"/>
        <v>390273</v>
      </c>
      <c r="AE166" s="70"/>
      <c r="AF166" s="11">
        <f aca="true" t="shared" si="24" ref="AF166:AF238">H166+AD166-AC166</f>
        <v>117429</v>
      </c>
      <c r="BH166" s="148"/>
    </row>
    <row r="167" spans="1:60" ht="36.75" customHeight="1" hidden="1">
      <c r="A167" s="1">
        <v>2014</v>
      </c>
      <c r="B167" s="117" t="s">
        <v>192</v>
      </c>
      <c r="C167" s="120">
        <v>18210</v>
      </c>
      <c r="D167" s="3"/>
      <c r="E167" s="68"/>
      <c r="F167" s="3"/>
      <c r="G167" s="68"/>
      <c r="H167" s="3">
        <f aca="true" t="shared" si="25" ref="H167:H190">C167+F167-D167</f>
        <v>18210</v>
      </c>
      <c r="I167" s="28"/>
      <c r="J167" s="28"/>
      <c r="K167" s="15"/>
      <c r="L167" s="15"/>
      <c r="M167" s="46"/>
      <c r="N167" s="47"/>
      <c r="O167" s="15"/>
      <c r="P167" s="15"/>
      <c r="Q167" s="54"/>
      <c r="R167" s="54"/>
      <c r="S167" s="15"/>
      <c r="T167" s="15"/>
      <c r="U167" s="65"/>
      <c r="V167" s="65"/>
      <c r="W167" s="15"/>
      <c r="X167" s="15"/>
      <c r="Y167" s="77"/>
      <c r="Z167" s="77"/>
      <c r="AA167" s="15"/>
      <c r="AB167" s="15"/>
      <c r="AC167" s="69">
        <f t="shared" si="19"/>
        <v>0</v>
      </c>
      <c r="AD167" s="69">
        <f t="shared" si="19"/>
        <v>0</v>
      </c>
      <c r="AE167" s="70"/>
      <c r="AF167" s="11">
        <f t="shared" si="24"/>
        <v>18210</v>
      </c>
      <c r="BH167" s="148"/>
    </row>
    <row r="168" spans="1:60" ht="28.5" customHeight="1" hidden="1">
      <c r="A168" s="1">
        <v>2016</v>
      </c>
      <c r="B168" s="117" t="s">
        <v>529</v>
      </c>
      <c r="C168" s="120"/>
      <c r="D168" s="3"/>
      <c r="E168" s="68"/>
      <c r="F168" s="3"/>
      <c r="G168" s="68"/>
      <c r="H168" s="3">
        <f t="shared" si="25"/>
        <v>0</v>
      </c>
      <c r="I168" s="28"/>
      <c r="J168" s="28"/>
      <c r="K168" s="15"/>
      <c r="L168" s="15"/>
      <c r="M168" s="46"/>
      <c r="N168" s="47"/>
      <c r="O168" s="15"/>
      <c r="P168" s="15"/>
      <c r="Q168" s="54"/>
      <c r="R168" s="54"/>
      <c r="S168" s="15"/>
      <c r="T168" s="15"/>
      <c r="U168" s="65"/>
      <c r="V168" s="65"/>
      <c r="W168" s="15"/>
      <c r="X168" s="15"/>
      <c r="Y168" s="77"/>
      <c r="Z168" s="77"/>
      <c r="AA168" s="15"/>
      <c r="AB168" s="15"/>
      <c r="AC168" s="69">
        <f t="shared" si="19"/>
        <v>0</v>
      </c>
      <c r="AD168" s="69">
        <f t="shared" si="19"/>
        <v>0</v>
      </c>
      <c r="AE168" s="70"/>
      <c r="AF168" s="11">
        <f t="shared" si="24"/>
        <v>0</v>
      </c>
      <c r="BH168" s="148"/>
    </row>
    <row r="169" spans="1:60" ht="28.5" customHeight="1" hidden="1">
      <c r="A169" s="1">
        <v>2052</v>
      </c>
      <c r="B169" s="117" t="s">
        <v>139</v>
      </c>
      <c r="C169" s="132"/>
      <c r="D169" s="3"/>
      <c r="E169" s="68"/>
      <c r="F169" s="3"/>
      <c r="G169" s="68"/>
      <c r="H169" s="3">
        <f t="shared" si="25"/>
        <v>0</v>
      </c>
      <c r="I169" s="28"/>
      <c r="J169" s="28">
        <v>6661</v>
      </c>
      <c r="K169" s="15"/>
      <c r="L169" s="15"/>
      <c r="M169" s="46"/>
      <c r="N169" s="47"/>
      <c r="O169" s="15"/>
      <c r="P169" s="15"/>
      <c r="Q169" s="54"/>
      <c r="R169" s="54"/>
      <c r="S169" s="15"/>
      <c r="T169" s="15"/>
      <c r="U169" s="65"/>
      <c r="V169" s="65"/>
      <c r="W169" s="15"/>
      <c r="X169" s="15"/>
      <c r="Y169" s="77"/>
      <c r="Z169" s="77"/>
      <c r="AA169" s="15"/>
      <c r="AB169" s="15"/>
      <c r="AC169" s="69">
        <f t="shared" si="19"/>
        <v>0</v>
      </c>
      <c r="AD169" s="69">
        <f t="shared" si="19"/>
        <v>6661</v>
      </c>
      <c r="AE169" s="70"/>
      <c r="AF169" s="11">
        <f t="shared" si="24"/>
        <v>6661</v>
      </c>
      <c r="BH169" s="148"/>
    </row>
    <row r="170" spans="1:60" ht="28.5" customHeight="1" hidden="1">
      <c r="A170" s="1">
        <v>2054</v>
      </c>
      <c r="B170" s="117" t="s">
        <v>193</v>
      </c>
      <c r="C170" s="120">
        <v>77840025</v>
      </c>
      <c r="D170" s="3">
        <v>473650</v>
      </c>
      <c r="E170" s="68" t="s">
        <v>212</v>
      </c>
      <c r="F170" s="3"/>
      <c r="G170" s="68"/>
      <c r="H170" s="3">
        <f t="shared" si="25"/>
        <v>77366375</v>
      </c>
      <c r="I170" s="28"/>
      <c r="J170" s="155">
        <v>2433823</v>
      </c>
      <c r="K170" s="15"/>
      <c r="L170" s="15"/>
      <c r="M170" s="46"/>
      <c r="N170" s="47"/>
      <c r="O170" s="15"/>
      <c r="P170" s="15"/>
      <c r="Q170" s="54"/>
      <c r="R170" s="54">
        <v>1150775</v>
      </c>
      <c r="S170" s="15"/>
      <c r="T170" s="15"/>
      <c r="U170" s="65"/>
      <c r="V170" s="65">
        <f>69850000</f>
        <v>69850000</v>
      </c>
      <c r="W170" s="15">
        <f>323575-6078</f>
        <v>317497</v>
      </c>
      <c r="X170" s="15"/>
      <c r="Y170" s="77"/>
      <c r="Z170" s="77"/>
      <c r="AA170" s="15"/>
      <c r="AB170" s="15"/>
      <c r="AC170" s="69">
        <f t="shared" si="19"/>
        <v>317497</v>
      </c>
      <c r="AD170" s="69">
        <f t="shared" si="19"/>
        <v>73434598</v>
      </c>
      <c r="AE170" s="70"/>
      <c r="AF170" s="11">
        <f t="shared" si="24"/>
        <v>150483476</v>
      </c>
      <c r="BH170" s="148"/>
    </row>
    <row r="171" spans="1:60" ht="28.5" customHeight="1" hidden="1">
      <c r="A171" s="1">
        <v>2056</v>
      </c>
      <c r="B171" s="117" t="s">
        <v>194</v>
      </c>
      <c r="C171" s="120">
        <v>164572351</v>
      </c>
      <c r="D171" s="3">
        <v>662581</v>
      </c>
      <c r="E171" s="68" t="s">
        <v>212</v>
      </c>
      <c r="F171" s="3"/>
      <c r="G171" s="68"/>
      <c r="H171" s="3">
        <f t="shared" si="25"/>
        <v>163909770</v>
      </c>
      <c r="I171" s="28"/>
      <c r="J171" s="28">
        <v>0</v>
      </c>
      <c r="K171" s="15"/>
      <c r="L171" s="15"/>
      <c r="M171" s="46"/>
      <c r="N171" s="47"/>
      <c r="O171" s="15"/>
      <c r="P171" s="15"/>
      <c r="Q171" s="54"/>
      <c r="R171" s="54">
        <v>72300</v>
      </c>
      <c r="S171" s="15">
        <v>72300</v>
      </c>
      <c r="T171" s="15"/>
      <c r="U171" s="65"/>
      <c r="V171" s="65"/>
      <c r="W171" s="15"/>
      <c r="X171" s="15"/>
      <c r="Y171" s="77"/>
      <c r="Z171" s="77"/>
      <c r="AA171" s="15"/>
      <c r="AB171" s="15"/>
      <c r="AC171" s="69">
        <f t="shared" si="19"/>
        <v>72300</v>
      </c>
      <c r="AD171" s="69">
        <f t="shared" si="19"/>
        <v>72300</v>
      </c>
      <c r="AE171" s="70"/>
      <c r="AF171" s="11">
        <f t="shared" si="24"/>
        <v>163909770</v>
      </c>
      <c r="BH171" s="148"/>
    </row>
    <row r="172" spans="1:60" ht="28.5" customHeight="1" hidden="1">
      <c r="A172" s="14">
        <v>2069</v>
      </c>
      <c r="B172" s="117" t="s">
        <v>601</v>
      </c>
      <c r="C172" s="120"/>
      <c r="D172" s="3"/>
      <c r="E172" s="68"/>
      <c r="F172" s="3"/>
      <c r="G172" s="68"/>
      <c r="H172" s="3">
        <f t="shared" si="25"/>
        <v>0</v>
      </c>
      <c r="I172" s="28"/>
      <c r="J172" s="28"/>
      <c r="K172" s="15"/>
      <c r="L172" s="15"/>
      <c r="M172" s="46"/>
      <c r="N172" s="47"/>
      <c r="O172" s="15"/>
      <c r="P172" s="15"/>
      <c r="Q172" s="54"/>
      <c r="R172" s="54"/>
      <c r="S172" s="15"/>
      <c r="T172" s="15"/>
      <c r="U172" s="65"/>
      <c r="V172" s="65"/>
      <c r="W172" s="15"/>
      <c r="X172" s="15"/>
      <c r="Y172" s="77"/>
      <c r="Z172" s="77"/>
      <c r="AA172" s="15"/>
      <c r="AB172" s="15"/>
      <c r="AC172" s="69">
        <f t="shared" si="19"/>
        <v>0</v>
      </c>
      <c r="AD172" s="69">
        <f t="shared" si="19"/>
        <v>0</v>
      </c>
      <c r="AE172" s="70"/>
      <c r="AF172" s="11">
        <f t="shared" si="24"/>
        <v>0</v>
      </c>
      <c r="BH172" s="148"/>
    </row>
    <row r="173" spans="1:60" ht="28.5" customHeight="1" hidden="1">
      <c r="A173" s="14">
        <v>2070</v>
      </c>
      <c r="B173" s="117" t="s">
        <v>602</v>
      </c>
      <c r="C173" s="120"/>
      <c r="D173" s="3"/>
      <c r="E173" s="68"/>
      <c r="F173" s="3"/>
      <c r="G173" s="68"/>
      <c r="H173" s="3">
        <f t="shared" si="25"/>
        <v>0</v>
      </c>
      <c r="I173" s="28"/>
      <c r="J173" s="28"/>
      <c r="K173" s="15"/>
      <c r="L173" s="15"/>
      <c r="M173" s="46"/>
      <c r="N173" s="47"/>
      <c r="O173" s="15"/>
      <c r="P173" s="15"/>
      <c r="Q173" s="54"/>
      <c r="R173" s="54"/>
      <c r="S173" s="15"/>
      <c r="T173" s="15"/>
      <c r="U173" s="65"/>
      <c r="V173" s="65"/>
      <c r="W173" s="15"/>
      <c r="X173" s="15"/>
      <c r="Y173" s="77"/>
      <c r="Z173" s="77"/>
      <c r="AA173" s="15"/>
      <c r="AB173" s="15"/>
      <c r="AC173" s="69">
        <f t="shared" si="19"/>
        <v>0</v>
      </c>
      <c r="AD173" s="69">
        <f t="shared" si="19"/>
        <v>0</v>
      </c>
      <c r="AE173" s="70"/>
      <c r="AF173" s="11">
        <f t="shared" si="24"/>
        <v>0</v>
      </c>
      <c r="BH173" s="148"/>
    </row>
    <row r="174" spans="1:60" ht="28.5" customHeight="1" hidden="1">
      <c r="A174" s="1">
        <v>2113</v>
      </c>
      <c r="B174" s="117" t="s">
        <v>195</v>
      </c>
      <c r="C174" s="119"/>
      <c r="D174" s="3"/>
      <c r="E174" s="68"/>
      <c r="F174" s="3"/>
      <c r="G174" s="68"/>
      <c r="H174" s="3">
        <f t="shared" si="25"/>
        <v>0</v>
      </c>
      <c r="I174" s="28"/>
      <c r="J174" s="28"/>
      <c r="K174" s="15"/>
      <c r="L174" s="15"/>
      <c r="M174" s="46"/>
      <c r="N174" s="47"/>
      <c r="O174" s="15"/>
      <c r="P174" s="15"/>
      <c r="Q174" s="54"/>
      <c r="R174" s="54"/>
      <c r="S174" s="15"/>
      <c r="T174" s="15"/>
      <c r="U174" s="65"/>
      <c r="V174" s="65"/>
      <c r="W174" s="15"/>
      <c r="X174" s="15"/>
      <c r="Y174" s="77"/>
      <c r="Z174" s="77"/>
      <c r="AA174" s="15"/>
      <c r="AB174" s="15"/>
      <c r="AC174" s="69">
        <f t="shared" si="19"/>
        <v>0</v>
      </c>
      <c r="AD174" s="69">
        <f t="shared" si="19"/>
        <v>0</v>
      </c>
      <c r="AE174" s="70"/>
      <c r="AF174" s="11">
        <f t="shared" si="24"/>
        <v>0</v>
      </c>
      <c r="BH174" s="148"/>
    </row>
    <row r="175" spans="1:60" ht="28.5" customHeight="1" hidden="1">
      <c r="A175" s="1">
        <v>2123</v>
      </c>
      <c r="B175" s="117" t="s">
        <v>196</v>
      </c>
      <c r="C175" s="119">
        <v>635000</v>
      </c>
      <c r="D175" s="3"/>
      <c r="E175" s="68"/>
      <c r="F175" s="3"/>
      <c r="G175" s="68"/>
      <c r="H175" s="3">
        <f t="shared" si="25"/>
        <v>635000</v>
      </c>
      <c r="I175" s="28"/>
      <c r="J175" s="28"/>
      <c r="K175" s="15"/>
      <c r="L175" s="15"/>
      <c r="M175" s="46"/>
      <c r="N175" s="47"/>
      <c r="O175" s="15"/>
      <c r="P175" s="15"/>
      <c r="Q175" s="54"/>
      <c r="R175" s="54"/>
      <c r="S175" s="15"/>
      <c r="T175" s="15"/>
      <c r="U175" s="65"/>
      <c r="V175" s="65"/>
      <c r="W175" s="15"/>
      <c r="X175" s="15"/>
      <c r="Y175" s="77"/>
      <c r="Z175" s="77"/>
      <c r="AA175" s="15"/>
      <c r="AB175" s="15"/>
      <c r="AC175" s="69">
        <f t="shared" si="19"/>
        <v>0</v>
      </c>
      <c r="AD175" s="69">
        <f t="shared" si="19"/>
        <v>0</v>
      </c>
      <c r="AE175" s="70"/>
      <c r="AF175" s="11">
        <f t="shared" si="24"/>
        <v>635000</v>
      </c>
      <c r="BH175" s="148"/>
    </row>
    <row r="176" spans="1:60" ht="28.5" customHeight="1" hidden="1">
      <c r="A176" s="1">
        <v>2124</v>
      </c>
      <c r="B176" s="117" t="s">
        <v>199</v>
      </c>
      <c r="C176" s="120">
        <v>25979109</v>
      </c>
      <c r="D176" s="3"/>
      <c r="E176" s="68"/>
      <c r="F176" s="3"/>
      <c r="G176" s="68"/>
      <c r="H176" s="3">
        <f t="shared" si="25"/>
        <v>25979109</v>
      </c>
      <c r="I176" s="28"/>
      <c r="J176" s="28">
        <v>38429</v>
      </c>
      <c r="K176" s="59">
        <f>127000+127000+190500</f>
        <v>444500</v>
      </c>
      <c r="L176" s="15"/>
      <c r="M176" s="46"/>
      <c r="N176" s="47"/>
      <c r="O176" s="26"/>
      <c r="P176" s="15"/>
      <c r="Q176" s="54"/>
      <c r="R176" s="54">
        <v>253831</v>
      </c>
      <c r="S176" s="15">
        <v>254000</v>
      </c>
      <c r="T176" s="15"/>
      <c r="U176" s="65"/>
      <c r="V176" s="65"/>
      <c r="W176" s="15"/>
      <c r="X176" s="15"/>
      <c r="Y176" s="77"/>
      <c r="Z176" s="77"/>
      <c r="AA176" s="15"/>
      <c r="AB176" s="15"/>
      <c r="AC176" s="69">
        <f t="shared" si="19"/>
        <v>698500</v>
      </c>
      <c r="AD176" s="69">
        <f t="shared" si="19"/>
        <v>292260</v>
      </c>
      <c r="AE176" s="70"/>
      <c r="AF176" s="11">
        <f t="shared" si="24"/>
        <v>25572869</v>
      </c>
      <c r="BH176" s="148"/>
    </row>
    <row r="177" spans="1:60" ht="28.5" customHeight="1" hidden="1">
      <c r="A177" s="1">
        <v>2125</v>
      </c>
      <c r="B177" s="117" t="s">
        <v>389</v>
      </c>
      <c r="C177" s="120"/>
      <c r="D177" s="3"/>
      <c r="E177" s="68"/>
      <c r="F177" s="3"/>
      <c r="G177" s="68"/>
      <c r="H177" s="3">
        <f t="shared" si="25"/>
        <v>0</v>
      </c>
      <c r="I177" s="28"/>
      <c r="J177" s="28"/>
      <c r="K177" s="59"/>
      <c r="L177" s="15"/>
      <c r="M177" s="46"/>
      <c r="N177" s="47"/>
      <c r="O177" s="26"/>
      <c r="P177" s="15"/>
      <c r="Q177" s="54"/>
      <c r="R177" s="54"/>
      <c r="S177" s="15"/>
      <c r="T177" s="15"/>
      <c r="U177" s="65"/>
      <c r="V177" s="65"/>
      <c r="W177" s="15"/>
      <c r="X177" s="15"/>
      <c r="Y177" s="77"/>
      <c r="Z177" s="77"/>
      <c r="AA177" s="15"/>
      <c r="AB177" s="15"/>
      <c r="AC177" s="69">
        <f t="shared" si="19"/>
        <v>0</v>
      </c>
      <c r="AD177" s="69">
        <f t="shared" si="19"/>
        <v>0</v>
      </c>
      <c r="AE177" s="70"/>
      <c r="AF177" s="11">
        <f t="shared" si="24"/>
        <v>0</v>
      </c>
      <c r="BH177" s="148"/>
    </row>
    <row r="178" spans="1:60" ht="28.5" customHeight="1" hidden="1">
      <c r="A178" s="1">
        <v>2127</v>
      </c>
      <c r="B178" s="117" t="s">
        <v>67</v>
      </c>
      <c r="C178" s="120">
        <v>762000</v>
      </c>
      <c r="D178" s="3"/>
      <c r="E178" s="68"/>
      <c r="F178" s="3"/>
      <c r="G178" s="68"/>
      <c r="H178" s="3">
        <f t="shared" si="25"/>
        <v>762000</v>
      </c>
      <c r="I178" s="28"/>
      <c r="J178" s="28">
        <v>0</v>
      </c>
      <c r="K178" s="26"/>
      <c r="L178" s="15"/>
      <c r="M178" s="46"/>
      <c r="N178" s="47"/>
      <c r="O178" s="26"/>
      <c r="P178" s="15"/>
      <c r="Q178" s="54"/>
      <c r="R178" s="54">
        <v>2374472</v>
      </c>
      <c r="S178" s="15">
        <v>2375900</v>
      </c>
      <c r="T178" s="15"/>
      <c r="U178" s="65"/>
      <c r="V178" s="65"/>
      <c r="W178" s="15"/>
      <c r="X178" s="15"/>
      <c r="Y178" s="77"/>
      <c r="Z178" s="77"/>
      <c r="AA178" s="15"/>
      <c r="AB178" s="15"/>
      <c r="AC178" s="69">
        <f t="shared" si="19"/>
        <v>2375900</v>
      </c>
      <c r="AD178" s="69">
        <f t="shared" si="19"/>
        <v>2374472</v>
      </c>
      <c r="AE178" s="70"/>
      <c r="AF178" s="11">
        <f t="shared" si="24"/>
        <v>760572</v>
      </c>
      <c r="BH178" s="148"/>
    </row>
    <row r="179" spans="1:60" ht="28.5" customHeight="1" hidden="1">
      <c r="A179" s="1">
        <v>2130</v>
      </c>
      <c r="B179" s="117" t="s">
        <v>17</v>
      </c>
      <c r="C179" s="120">
        <v>2302</v>
      </c>
      <c r="D179" s="3"/>
      <c r="E179" s="68"/>
      <c r="F179" s="3"/>
      <c r="G179" s="68"/>
      <c r="H179" s="3">
        <f t="shared" si="25"/>
        <v>2302</v>
      </c>
      <c r="I179" s="28"/>
      <c r="J179" s="28"/>
      <c r="K179" s="15"/>
      <c r="L179" s="15"/>
      <c r="M179" s="46"/>
      <c r="N179" s="47"/>
      <c r="O179" s="15"/>
      <c r="P179" s="15"/>
      <c r="Q179" s="54"/>
      <c r="R179" s="54"/>
      <c r="S179" s="15"/>
      <c r="T179" s="15"/>
      <c r="U179" s="65"/>
      <c r="V179" s="65"/>
      <c r="W179" s="15"/>
      <c r="X179" s="15"/>
      <c r="Y179" s="77"/>
      <c r="Z179" s="77"/>
      <c r="AA179" s="15"/>
      <c r="AB179" s="15"/>
      <c r="AC179" s="69">
        <f t="shared" si="19"/>
        <v>0</v>
      </c>
      <c r="AD179" s="69">
        <f t="shared" si="19"/>
        <v>0</v>
      </c>
      <c r="AE179" s="70"/>
      <c r="AF179" s="11">
        <f t="shared" si="24"/>
        <v>2302</v>
      </c>
      <c r="BH179" s="148"/>
    </row>
    <row r="180" spans="1:60" ht="24" hidden="1">
      <c r="A180" s="14">
        <v>2131</v>
      </c>
      <c r="B180" s="117" t="s">
        <v>18</v>
      </c>
      <c r="C180" s="120">
        <v>3007</v>
      </c>
      <c r="D180" s="3"/>
      <c r="E180" s="68"/>
      <c r="F180" s="3"/>
      <c r="G180" s="68"/>
      <c r="H180" s="3">
        <f t="shared" si="25"/>
        <v>3007</v>
      </c>
      <c r="I180" s="28"/>
      <c r="J180" s="28"/>
      <c r="K180" s="15"/>
      <c r="L180" s="15"/>
      <c r="M180" s="46"/>
      <c r="N180" s="47"/>
      <c r="O180" s="15"/>
      <c r="P180" s="15"/>
      <c r="Q180" s="54"/>
      <c r="R180" s="54"/>
      <c r="S180" s="15"/>
      <c r="T180" s="15"/>
      <c r="U180" s="65"/>
      <c r="V180" s="65"/>
      <c r="W180" s="15"/>
      <c r="X180" s="15"/>
      <c r="Y180" s="77"/>
      <c r="Z180" s="77"/>
      <c r="AA180" s="15"/>
      <c r="AB180" s="15"/>
      <c r="AC180" s="69">
        <f t="shared" si="19"/>
        <v>0</v>
      </c>
      <c r="AD180" s="69">
        <f t="shared" si="19"/>
        <v>0</v>
      </c>
      <c r="AE180" s="70"/>
      <c r="AF180" s="11">
        <f t="shared" si="24"/>
        <v>3007</v>
      </c>
      <c r="BH180" s="148"/>
    </row>
    <row r="181" spans="1:60" ht="28.5" customHeight="1" hidden="1">
      <c r="A181" s="14">
        <v>2133</v>
      </c>
      <c r="B181" s="117" t="s">
        <v>345</v>
      </c>
      <c r="C181" s="120"/>
      <c r="D181" s="3"/>
      <c r="E181" s="68"/>
      <c r="F181" s="3"/>
      <c r="G181" s="68"/>
      <c r="H181" s="3">
        <f t="shared" si="25"/>
        <v>0</v>
      </c>
      <c r="I181" s="28"/>
      <c r="J181" s="28"/>
      <c r="K181" s="15"/>
      <c r="L181" s="15"/>
      <c r="M181" s="46"/>
      <c r="N181" s="47"/>
      <c r="O181" s="15"/>
      <c r="P181" s="15"/>
      <c r="Q181" s="54"/>
      <c r="R181" s="54"/>
      <c r="S181" s="15"/>
      <c r="T181" s="15"/>
      <c r="U181" s="65"/>
      <c r="V181" s="65"/>
      <c r="W181" s="15"/>
      <c r="X181" s="15"/>
      <c r="Y181" s="77"/>
      <c r="Z181" s="77"/>
      <c r="AA181" s="15"/>
      <c r="AB181" s="15"/>
      <c r="AC181" s="69">
        <f t="shared" si="19"/>
        <v>0</v>
      </c>
      <c r="AD181" s="69">
        <f t="shared" si="19"/>
        <v>0</v>
      </c>
      <c r="AE181" s="70"/>
      <c r="AF181" s="11">
        <f t="shared" si="24"/>
        <v>0</v>
      </c>
      <c r="BH181" s="148"/>
    </row>
    <row r="182" spans="1:60" ht="60.75" customHeight="1" hidden="1">
      <c r="A182" s="14">
        <v>2139</v>
      </c>
      <c r="B182" s="117" t="s">
        <v>19</v>
      </c>
      <c r="C182" s="120"/>
      <c r="D182" s="3"/>
      <c r="E182" s="68"/>
      <c r="F182" s="3"/>
      <c r="G182" s="68"/>
      <c r="H182" s="3">
        <f t="shared" si="25"/>
        <v>0</v>
      </c>
      <c r="I182" s="28"/>
      <c r="J182" s="28"/>
      <c r="K182" s="15"/>
      <c r="L182" s="15"/>
      <c r="M182" s="46"/>
      <c r="N182" s="47"/>
      <c r="O182" s="15"/>
      <c r="P182" s="15"/>
      <c r="Q182" s="54"/>
      <c r="R182" s="54"/>
      <c r="S182" s="15"/>
      <c r="T182" s="15"/>
      <c r="U182" s="65"/>
      <c r="V182" s="65"/>
      <c r="W182" s="15"/>
      <c r="X182" s="15"/>
      <c r="Y182" s="77"/>
      <c r="Z182" s="77"/>
      <c r="AA182" s="15"/>
      <c r="AB182" s="15"/>
      <c r="AC182" s="69">
        <f t="shared" si="19"/>
        <v>0</v>
      </c>
      <c r="AD182" s="69">
        <f t="shared" si="19"/>
        <v>0</v>
      </c>
      <c r="AE182" s="70"/>
      <c r="AF182" s="11">
        <f t="shared" si="24"/>
        <v>0</v>
      </c>
      <c r="BH182" s="148"/>
    </row>
    <row r="183" spans="1:60" ht="61.5" customHeight="1" hidden="1">
      <c r="A183" s="14">
        <v>2140</v>
      </c>
      <c r="B183" s="117" t="s">
        <v>20</v>
      </c>
      <c r="C183" s="120"/>
      <c r="D183" s="3"/>
      <c r="E183" s="68"/>
      <c r="F183" s="3"/>
      <c r="G183" s="68"/>
      <c r="H183" s="3">
        <f t="shared" si="25"/>
        <v>0</v>
      </c>
      <c r="I183" s="28"/>
      <c r="J183" s="28"/>
      <c r="K183" s="15"/>
      <c r="L183" s="15"/>
      <c r="M183" s="46"/>
      <c r="N183" s="47"/>
      <c r="O183" s="15"/>
      <c r="P183" s="15"/>
      <c r="Q183" s="54"/>
      <c r="R183" s="54"/>
      <c r="S183" s="15"/>
      <c r="T183" s="15"/>
      <c r="U183" s="65"/>
      <c r="V183" s="65"/>
      <c r="W183" s="15"/>
      <c r="X183" s="15"/>
      <c r="Y183" s="77"/>
      <c r="Z183" s="77"/>
      <c r="AA183" s="15"/>
      <c r="AB183" s="15"/>
      <c r="AC183" s="69">
        <f t="shared" si="19"/>
        <v>0</v>
      </c>
      <c r="AD183" s="69">
        <f t="shared" si="19"/>
        <v>0</v>
      </c>
      <c r="AE183" s="70"/>
      <c r="AF183" s="11">
        <f t="shared" si="24"/>
        <v>0</v>
      </c>
      <c r="BH183" s="148"/>
    </row>
    <row r="184" spans="1:60" ht="28.5" customHeight="1" hidden="1">
      <c r="A184" s="1">
        <v>2255</v>
      </c>
      <c r="B184" s="117" t="s">
        <v>200</v>
      </c>
      <c r="C184" s="120">
        <v>30750006</v>
      </c>
      <c r="D184" s="3"/>
      <c r="E184" s="68"/>
      <c r="F184" s="3"/>
      <c r="G184" s="68"/>
      <c r="H184" s="3">
        <f t="shared" si="25"/>
        <v>30750006</v>
      </c>
      <c r="I184" s="28"/>
      <c r="J184" s="28"/>
      <c r="K184" s="15"/>
      <c r="L184" s="15"/>
      <c r="M184" s="46"/>
      <c r="N184" s="50">
        <v>245390</v>
      </c>
      <c r="O184" s="15">
        <f>81153+120621</f>
        <v>201774</v>
      </c>
      <c r="P184" s="15"/>
      <c r="Q184" s="54"/>
      <c r="R184" s="54"/>
      <c r="S184" s="15"/>
      <c r="T184" s="15"/>
      <c r="U184" s="65"/>
      <c r="V184" s="65"/>
      <c r="W184" s="15"/>
      <c r="X184" s="15"/>
      <c r="Y184" s="77"/>
      <c r="Z184" s="77"/>
      <c r="AA184" s="15"/>
      <c r="AB184" s="15"/>
      <c r="AC184" s="69">
        <f t="shared" si="19"/>
        <v>201774</v>
      </c>
      <c r="AD184" s="69">
        <f t="shared" si="19"/>
        <v>245390</v>
      </c>
      <c r="AE184" s="70"/>
      <c r="AF184" s="11">
        <f t="shared" si="24"/>
        <v>30793622</v>
      </c>
      <c r="BH184" s="148"/>
    </row>
    <row r="185" spans="1:60" ht="28.5" customHeight="1" hidden="1">
      <c r="A185" s="14">
        <v>2701</v>
      </c>
      <c r="B185" s="117" t="s">
        <v>28</v>
      </c>
      <c r="C185" s="120"/>
      <c r="D185" s="3"/>
      <c r="E185" s="68"/>
      <c r="F185" s="3"/>
      <c r="G185" s="68"/>
      <c r="H185" s="3">
        <f t="shared" si="25"/>
        <v>0</v>
      </c>
      <c r="I185" s="28"/>
      <c r="J185" s="28"/>
      <c r="K185" s="15"/>
      <c r="L185" s="15"/>
      <c r="M185" s="46"/>
      <c r="N185" s="47"/>
      <c r="O185" s="15"/>
      <c r="P185" s="15"/>
      <c r="Q185" s="54"/>
      <c r="R185" s="54"/>
      <c r="S185" s="15"/>
      <c r="T185" s="15"/>
      <c r="U185" s="65"/>
      <c r="V185" s="65"/>
      <c r="W185" s="15"/>
      <c r="X185" s="15"/>
      <c r="Y185" s="77"/>
      <c r="Z185" s="77"/>
      <c r="AA185" s="15"/>
      <c r="AB185" s="15"/>
      <c r="AC185" s="69">
        <f t="shared" si="19"/>
        <v>0</v>
      </c>
      <c r="AD185" s="69">
        <f t="shared" si="19"/>
        <v>0</v>
      </c>
      <c r="AE185" s="70"/>
      <c r="AF185" s="11">
        <f t="shared" si="24"/>
        <v>0</v>
      </c>
      <c r="BH185" s="148"/>
    </row>
    <row r="186" spans="1:60" ht="39.75" customHeight="1" hidden="1">
      <c r="A186" s="1">
        <v>2705</v>
      </c>
      <c r="B186" s="117" t="s">
        <v>201</v>
      </c>
      <c r="C186" s="120">
        <v>2023806</v>
      </c>
      <c r="D186" s="3"/>
      <c r="E186" s="68"/>
      <c r="F186" s="3"/>
      <c r="G186" s="68"/>
      <c r="H186" s="3">
        <f t="shared" si="25"/>
        <v>2023806</v>
      </c>
      <c r="I186" s="28"/>
      <c r="J186" s="28">
        <v>53185</v>
      </c>
      <c r="K186" s="15"/>
      <c r="L186" s="15"/>
      <c r="M186" s="46"/>
      <c r="N186" s="47"/>
      <c r="O186" s="15"/>
      <c r="P186" s="15"/>
      <c r="Q186" s="54"/>
      <c r="R186" s="54"/>
      <c r="S186" s="15">
        <v>2793</v>
      </c>
      <c r="T186" s="15"/>
      <c r="U186" s="65"/>
      <c r="V186" s="65">
        <v>1105196</v>
      </c>
      <c r="W186" s="15"/>
      <c r="X186" s="15"/>
      <c r="Y186" s="77"/>
      <c r="Z186" s="77"/>
      <c r="AA186" s="15"/>
      <c r="AB186" s="15"/>
      <c r="AC186" s="69">
        <f t="shared" si="19"/>
        <v>2793</v>
      </c>
      <c r="AD186" s="69">
        <f t="shared" si="19"/>
        <v>1158381</v>
      </c>
      <c r="AE186" s="70"/>
      <c r="AF186" s="11">
        <f t="shared" si="24"/>
        <v>3179394</v>
      </c>
      <c r="BH186" s="148"/>
    </row>
    <row r="187" spans="1:60" ht="28.5" customHeight="1" hidden="1">
      <c r="A187" s="1">
        <v>2711</v>
      </c>
      <c r="B187" s="117" t="s">
        <v>337</v>
      </c>
      <c r="C187" s="120"/>
      <c r="D187" s="3"/>
      <c r="E187" s="68"/>
      <c r="F187" s="3"/>
      <c r="G187" s="68"/>
      <c r="H187" s="3">
        <f t="shared" si="25"/>
        <v>0</v>
      </c>
      <c r="I187" s="28"/>
      <c r="J187" s="28"/>
      <c r="K187" s="15"/>
      <c r="L187" s="15"/>
      <c r="M187" s="46"/>
      <c r="N187" s="47"/>
      <c r="O187" s="15"/>
      <c r="P187" s="15"/>
      <c r="Q187" s="54"/>
      <c r="R187" s="54"/>
      <c r="S187" s="15"/>
      <c r="T187" s="15"/>
      <c r="U187" s="65"/>
      <c r="V187" s="65"/>
      <c r="W187" s="15"/>
      <c r="X187" s="15"/>
      <c r="Y187" s="77"/>
      <c r="Z187" s="77"/>
      <c r="AA187" s="15"/>
      <c r="AB187" s="15"/>
      <c r="AC187" s="69">
        <f t="shared" si="19"/>
        <v>0</v>
      </c>
      <c r="AD187" s="69">
        <f t="shared" si="19"/>
        <v>0</v>
      </c>
      <c r="AE187" s="70"/>
      <c r="AF187" s="11">
        <f t="shared" si="24"/>
        <v>0</v>
      </c>
      <c r="BH187" s="148"/>
    </row>
    <row r="188" spans="1:60" ht="28.5" customHeight="1" hidden="1">
      <c r="A188" s="1">
        <v>2712</v>
      </c>
      <c r="B188" s="117" t="s">
        <v>202</v>
      </c>
      <c r="C188" s="133">
        <f>240047-C201</f>
        <v>175858</v>
      </c>
      <c r="D188" s="3"/>
      <c r="E188" s="68"/>
      <c r="F188" s="3"/>
      <c r="G188" s="68"/>
      <c r="H188" s="3">
        <f t="shared" si="25"/>
        <v>175858</v>
      </c>
      <c r="I188" s="28"/>
      <c r="J188" s="28">
        <v>995</v>
      </c>
      <c r="K188" s="59">
        <f>2152+388+191</f>
        <v>2731</v>
      </c>
      <c r="L188" s="15"/>
      <c r="M188" s="46"/>
      <c r="N188" s="47"/>
      <c r="O188" s="26"/>
      <c r="P188" s="15"/>
      <c r="Q188" s="54"/>
      <c r="R188" s="54"/>
      <c r="S188" s="15">
        <v>27512</v>
      </c>
      <c r="T188" s="15"/>
      <c r="U188" s="65"/>
      <c r="V188" s="65"/>
      <c r="W188" s="15"/>
      <c r="X188" s="15"/>
      <c r="Y188" s="77"/>
      <c r="Z188" s="77"/>
      <c r="AA188" s="15"/>
      <c r="AB188" s="15"/>
      <c r="AC188" s="69">
        <f t="shared" si="19"/>
        <v>30243</v>
      </c>
      <c r="AD188" s="69">
        <f t="shared" si="19"/>
        <v>995</v>
      </c>
      <c r="AE188" s="70"/>
      <c r="AF188" s="11">
        <f t="shared" si="24"/>
        <v>146610</v>
      </c>
      <c r="BH188" s="148"/>
    </row>
    <row r="189" spans="1:60" ht="28.5" customHeight="1" hidden="1">
      <c r="A189" s="1">
        <v>2713</v>
      </c>
      <c r="B189" s="117"/>
      <c r="C189" s="120"/>
      <c r="D189" s="3"/>
      <c r="E189" s="68"/>
      <c r="F189" s="3"/>
      <c r="G189" s="68"/>
      <c r="H189" s="3">
        <f t="shared" si="25"/>
        <v>0</v>
      </c>
      <c r="I189" s="28"/>
      <c r="J189" s="28"/>
      <c r="K189" s="26"/>
      <c r="L189" s="15"/>
      <c r="M189" s="46"/>
      <c r="N189" s="47"/>
      <c r="O189" s="26"/>
      <c r="P189" s="15"/>
      <c r="Q189" s="54"/>
      <c r="R189" s="54"/>
      <c r="S189" s="15"/>
      <c r="T189" s="15"/>
      <c r="U189" s="65"/>
      <c r="V189" s="65"/>
      <c r="W189" s="15"/>
      <c r="X189" s="15"/>
      <c r="Y189" s="77"/>
      <c r="Z189" s="77"/>
      <c r="AA189" s="15"/>
      <c r="AB189" s="15"/>
      <c r="AC189" s="69">
        <f t="shared" si="19"/>
        <v>0</v>
      </c>
      <c r="AD189" s="69">
        <f t="shared" si="19"/>
        <v>0</v>
      </c>
      <c r="AE189" s="70"/>
      <c r="AF189" s="11">
        <f t="shared" si="24"/>
        <v>0</v>
      </c>
      <c r="BH189" s="148"/>
    </row>
    <row r="190" spans="1:60" ht="28.5" customHeight="1" hidden="1">
      <c r="A190" s="1">
        <v>2725</v>
      </c>
      <c r="B190" s="117" t="s">
        <v>535</v>
      </c>
      <c r="C190" s="120">
        <v>344902</v>
      </c>
      <c r="D190" s="3"/>
      <c r="E190" s="68"/>
      <c r="F190" s="3"/>
      <c r="G190" s="68"/>
      <c r="H190" s="3">
        <f t="shared" si="25"/>
        <v>344902</v>
      </c>
      <c r="I190" s="28"/>
      <c r="J190" s="28"/>
      <c r="K190" s="15"/>
      <c r="L190" s="15"/>
      <c r="M190" s="46"/>
      <c r="N190" s="50">
        <v>52</v>
      </c>
      <c r="O190" s="15">
        <f>17+299</f>
        <v>316</v>
      </c>
      <c r="P190" s="15"/>
      <c r="Q190" s="54"/>
      <c r="R190" s="54"/>
      <c r="S190" s="15"/>
      <c r="T190" s="15"/>
      <c r="U190" s="65"/>
      <c r="V190" s="65"/>
      <c r="W190" s="15"/>
      <c r="X190" s="15"/>
      <c r="Y190" s="77"/>
      <c r="Z190" s="77"/>
      <c r="AA190" s="15"/>
      <c r="AB190" s="15"/>
      <c r="AC190" s="69">
        <f t="shared" si="19"/>
        <v>316</v>
      </c>
      <c r="AD190" s="69">
        <f t="shared" si="19"/>
        <v>52</v>
      </c>
      <c r="AE190" s="70"/>
      <c r="AF190" s="11">
        <f t="shared" si="24"/>
        <v>344638</v>
      </c>
      <c r="BH190" s="148"/>
    </row>
    <row r="191" spans="1:60" ht="22.5" customHeight="1">
      <c r="A191" s="12"/>
      <c r="B191" s="117" t="s">
        <v>537</v>
      </c>
      <c r="C191" s="120">
        <f>7658641</f>
        <v>7658641</v>
      </c>
      <c r="D191" s="5">
        <f>SUM(D192:D201)</f>
        <v>13153</v>
      </c>
      <c r="E191" s="67"/>
      <c r="F191" s="5">
        <f>SUM(F192:F201)</f>
        <v>0</v>
      </c>
      <c r="G191" s="67"/>
      <c r="H191" s="5">
        <f aca="true" t="shared" si="26" ref="H191:AB191">SUM(H192:H201)</f>
        <v>7645487</v>
      </c>
      <c r="I191" s="5">
        <f t="shared" si="26"/>
        <v>0</v>
      </c>
      <c r="J191" s="5">
        <f t="shared" si="26"/>
        <v>0</v>
      </c>
      <c r="K191" s="5">
        <f t="shared" si="26"/>
        <v>0</v>
      </c>
      <c r="L191" s="5">
        <f t="shared" si="26"/>
        <v>0</v>
      </c>
      <c r="M191" s="5">
        <f t="shared" si="26"/>
        <v>0</v>
      </c>
      <c r="N191" s="5">
        <f t="shared" si="26"/>
        <v>0</v>
      </c>
      <c r="O191" s="5">
        <f t="shared" si="26"/>
        <v>0</v>
      </c>
      <c r="P191" s="5">
        <f t="shared" si="26"/>
        <v>0</v>
      </c>
      <c r="Q191" s="5">
        <f t="shared" si="26"/>
        <v>0</v>
      </c>
      <c r="R191" s="5">
        <f t="shared" si="26"/>
        <v>0</v>
      </c>
      <c r="S191" s="5">
        <f t="shared" si="26"/>
        <v>0</v>
      </c>
      <c r="T191" s="5">
        <f t="shared" si="26"/>
        <v>0</v>
      </c>
      <c r="U191" s="5">
        <f t="shared" si="26"/>
        <v>0</v>
      </c>
      <c r="V191" s="5">
        <f t="shared" si="26"/>
        <v>0</v>
      </c>
      <c r="W191" s="5">
        <f t="shared" si="26"/>
        <v>0</v>
      </c>
      <c r="X191" s="5">
        <f t="shared" si="26"/>
        <v>0</v>
      </c>
      <c r="Y191" s="5">
        <f t="shared" si="26"/>
        <v>0</v>
      </c>
      <c r="Z191" s="7">
        <f t="shared" si="26"/>
        <v>0</v>
      </c>
      <c r="AA191" s="5">
        <f t="shared" si="26"/>
        <v>0</v>
      </c>
      <c r="AB191" s="5">
        <f t="shared" si="26"/>
        <v>0</v>
      </c>
      <c r="AC191" s="5">
        <f t="shared" si="19"/>
        <v>0</v>
      </c>
      <c r="AD191" s="5">
        <f t="shared" si="19"/>
        <v>0</v>
      </c>
      <c r="AE191" s="5">
        <f>SUM(AE192:AE201)</f>
        <v>0</v>
      </c>
      <c r="AF191" s="10">
        <f t="shared" si="24"/>
        <v>7645487</v>
      </c>
      <c r="BH191" s="148">
        <v>9201109</v>
      </c>
    </row>
    <row r="192" spans="1:60" ht="28.5" customHeight="1" hidden="1">
      <c r="A192" s="1">
        <v>2034</v>
      </c>
      <c r="B192" s="117" t="s">
        <v>203</v>
      </c>
      <c r="C192" s="120"/>
      <c r="D192" s="3"/>
      <c r="E192" s="68"/>
      <c r="F192" s="3"/>
      <c r="G192" s="68"/>
      <c r="H192" s="3">
        <f aca="true" t="shared" si="27" ref="H192:H201">C192+F192-D192</f>
        <v>0</v>
      </c>
      <c r="I192" s="28"/>
      <c r="J192" s="28"/>
      <c r="K192" s="15"/>
      <c r="L192" s="15"/>
      <c r="M192" s="46"/>
      <c r="N192" s="47"/>
      <c r="O192" s="15"/>
      <c r="P192" s="15"/>
      <c r="Q192" s="54"/>
      <c r="R192" s="54"/>
      <c r="S192" s="15"/>
      <c r="T192" s="15"/>
      <c r="U192" s="65"/>
      <c r="V192" s="65"/>
      <c r="W192" s="15"/>
      <c r="X192" s="15"/>
      <c r="Y192" s="77"/>
      <c r="Z192" s="77"/>
      <c r="AA192" s="15"/>
      <c r="AB192" s="15"/>
      <c r="AC192" s="69">
        <f t="shared" si="19"/>
        <v>0</v>
      </c>
      <c r="AD192" s="69">
        <f t="shared" si="19"/>
        <v>0</v>
      </c>
      <c r="AE192" s="70"/>
      <c r="AF192" s="11">
        <f t="shared" si="24"/>
        <v>0</v>
      </c>
      <c r="BH192" s="148"/>
    </row>
    <row r="193" spans="1:60" ht="28.5" customHeight="1" hidden="1">
      <c r="A193" s="1">
        <v>2036</v>
      </c>
      <c r="B193" s="117" t="s">
        <v>204</v>
      </c>
      <c r="C193" s="120">
        <v>617262</v>
      </c>
      <c r="D193" s="3"/>
      <c r="E193" s="68"/>
      <c r="F193" s="3"/>
      <c r="G193" s="68"/>
      <c r="H193" s="3">
        <f t="shared" si="27"/>
        <v>617262</v>
      </c>
      <c r="I193" s="28"/>
      <c r="J193" s="28"/>
      <c r="K193" s="15"/>
      <c r="L193" s="15"/>
      <c r="M193" s="46"/>
      <c r="N193" s="47"/>
      <c r="O193" s="15"/>
      <c r="P193" s="15"/>
      <c r="Q193" s="54"/>
      <c r="R193" s="54"/>
      <c r="S193" s="15"/>
      <c r="T193" s="15"/>
      <c r="U193" s="65"/>
      <c r="V193" s="65"/>
      <c r="W193" s="15"/>
      <c r="X193" s="15"/>
      <c r="Y193" s="77"/>
      <c r="Z193" s="77"/>
      <c r="AA193" s="15"/>
      <c r="AB193" s="15"/>
      <c r="AC193" s="69">
        <f t="shared" si="19"/>
        <v>0</v>
      </c>
      <c r="AD193" s="69">
        <f t="shared" si="19"/>
        <v>0</v>
      </c>
      <c r="AE193" s="70"/>
      <c r="AF193" s="11">
        <f t="shared" si="24"/>
        <v>617262</v>
      </c>
      <c r="BH193" s="148"/>
    </row>
    <row r="194" spans="1:60" ht="28.5" customHeight="1" hidden="1">
      <c r="A194" s="1">
        <v>2044</v>
      </c>
      <c r="B194" s="117" t="s">
        <v>121</v>
      </c>
      <c r="C194" s="120">
        <v>335045</v>
      </c>
      <c r="D194" s="3"/>
      <c r="E194" s="68"/>
      <c r="F194" s="3"/>
      <c r="G194" s="68"/>
      <c r="H194" s="3">
        <f t="shared" si="27"/>
        <v>335045</v>
      </c>
      <c r="I194" s="28"/>
      <c r="J194" s="28"/>
      <c r="K194" s="15"/>
      <c r="L194" s="15"/>
      <c r="M194" s="46"/>
      <c r="N194" s="47"/>
      <c r="O194" s="15"/>
      <c r="P194" s="15"/>
      <c r="Q194" s="54"/>
      <c r="R194" s="54"/>
      <c r="S194" s="15"/>
      <c r="T194" s="15"/>
      <c r="U194" s="65"/>
      <c r="V194" s="65"/>
      <c r="W194" s="15"/>
      <c r="X194" s="15"/>
      <c r="Y194" s="77"/>
      <c r="Z194" s="77"/>
      <c r="AA194" s="15"/>
      <c r="AB194" s="15"/>
      <c r="AC194" s="69">
        <f t="shared" si="19"/>
        <v>0</v>
      </c>
      <c r="AD194" s="69">
        <f t="shared" si="19"/>
        <v>0</v>
      </c>
      <c r="AE194" s="70"/>
      <c r="AF194" s="11">
        <f t="shared" si="24"/>
        <v>335045</v>
      </c>
      <c r="BH194" s="148"/>
    </row>
    <row r="195" spans="1:60" ht="28.5" customHeight="1" hidden="1">
      <c r="A195" s="1">
        <v>2046</v>
      </c>
      <c r="B195" s="117" t="s">
        <v>122</v>
      </c>
      <c r="C195" s="120">
        <v>3562337</v>
      </c>
      <c r="D195" s="3">
        <v>13153</v>
      </c>
      <c r="E195" s="68" t="s">
        <v>212</v>
      </c>
      <c r="F195" s="3"/>
      <c r="G195" s="68"/>
      <c r="H195" s="3">
        <f t="shared" si="27"/>
        <v>3549184</v>
      </c>
      <c r="I195" s="28"/>
      <c r="J195" s="28"/>
      <c r="K195" s="15"/>
      <c r="L195" s="15"/>
      <c r="M195" s="46"/>
      <c r="N195" s="47"/>
      <c r="O195" s="15"/>
      <c r="P195" s="15"/>
      <c r="Q195" s="54"/>
      <c r="R195" s="54"/>
      <c r="S195" s="15"/>
      <c r="T195" s="15"/>
      <c r="U195" s="65"/>
      <c r="V195" s="65"/>
      <c r="W195" s="15"/>
      <c r="X195" s="15"/>
      <c r="Y195" s="77"/>
      <c r="Z195" s="77"/>
      <c r="AA195" s="15"/>
      <c r="AB195" s="15"/>
      <c r="AC195" s="69">
        <f t="shared" si="19"/>
        <v>0</v>
      </c>
      <c r="AD195" s="69">
        <f t="shared" si="19"/>
        <v>0</v>
      </c>
      <c r="AE195" s="70"/>
      <c r="AF195" s="11">
        <f t="shared" si="24"/>
        <v>3549184</v>
      </c>
      <c r="BH195" s="148"/>
    </row>
    <row r="196" spans="1:60" ht="28.5" customHeight="1" hidden="1">
      <c r="A196" s="1">
        <v>2121</v>
      </c>
      <c r="B196" s="117" t="s">
        <v>86</v>
      </c>
      <c r="C196" s="120">
        <v>3000000</v>
      </c>
      <c r="D196" s="3"/>
      <c r="E196" s="68"/>
      <c r="F196" s="3"/>
      <c r="G196" s="68"/>
      <c r="H196" s="3">
        <f t="shared" si="27"/>
        <v>3000000</v>
      </c>
      <c r="I196" s="28"/>
      <c r="J196" s="28"/>
      <c r="K196" s="15"/>
      <c r="L196" s="15"/>
      <c r="M196" s="46"/>
      <c r="N196" s="47"/>
      <c r="O196" s="15"/>
      <c r="P196" s="15"/>
      <c r="Q196" s="54"/>
      <c r="R196" s="54"/>
      <c r="S196" s="15"/>
      <c r="T196" s="15"/>
      <c r="U196" s="65"/>
      <c r="V196" s="65"/>
      <c r="W196" s="15"/>
      <c r="X196" s="15"/>
      <c r="Y196" s="77"/>
      <c r="Z196" s="77"/>
      <c r="AA196" s="15"/>
      <c r="AB196" s="15"/>
      <c r="AC196" s="69">
        <f t="shared" si="19"/>
        <v>0</v>
      </c>
      <c r="AD196" s="69">
        <f t="shared" si="19"/>
        <v>0</v>
      </c>
      <c r="AE196" s="70"/>
      <c r="AF196" s="11">
        <f t="shared" si="24"/>
        <v>3000000</v>
      </c>
      <c r="BH196" s="148"/>
    </row>
    <row r="197" spans="1:60" ht="47.25" customHeight="1" hidden="1">
      <c r="A197" s="14">
        <v>2139</v>
      </c>
      <c r="B197" s="117" t="s">
        <v>21</v>
      </c>
      <c r="C197" s="120"/>
      <c r="D197" s="3"/>
      <c r="E197" s="68"/>
      <c r="F197" s="3"/>
      <c r="G197" s="68"/>
      <c r="H197" s="3">
        <f t="shared" si="27"/>
        <v>0</v>
      </c>
      <c r="I197" s="28"/>
      <c r="J197" s="28"/>
      <c r="K197" s="15"/>
      <c r="L197" s="15"/>
      <c r="M197" s="46"/>
      <c r="N197" s="47"/>
      <c r="O197" s="15"/>
      <c r="P197" s="15"/>
      <c r="Q197" s="54"/>
      <c r="R197" s="54"/>
      <c r="S197" s="15"/>
      <c r="T197" s="15"/>
      <c r="U197" s="65"/>
      <c r="V197" s="65"/>
      <c r="W197" s="15"/>
      <c r="X197" s="15"/>
      <c r="Y197" s="77"/>
      <c r="Z197" s="77"/>
      <c r="AA197" s="15"/>
      <c r="AB197" s="15"/>
      <c r="AC197" s="69">
        <f t="shared" si="19"/>
        <v>0</v>
      </c>
      <c r="AD197" s="69">
        <f t="shared" si="19"/>
        <v>0</v>
      </c>
      <c r="AE197" s="70"/>
      <c r="AF197" s="11">
        <f t="shared" si="24"/>
        <v>0</v>
      </c>
      <c r="BH197" s="148"/>
    </row>
    <row r="198" spans="1:60" ht="48.75" customHeight="1" hidden="1">
      <c r="A198" s="14">
        <v>2140</v>
      </c>
      <c r="B198" s="117" t="s">
        <v>22</v>
      </c>
      <c r="C198" s="120"/>
      <c r="D198" s="3"/>
      <c r="E198" s="68"/>
      <c r="F198" s="3"/>
      <c r="G198" s="68"/>
      <c r="H198" s="3">
        <f t="shared" si="27"/>
        <v>0</v>
      </c>
      <c r="I198" s="28"/>
      <c r="J198" s="28"/>
      <c r="K198" s="15"/>
      <c r="L198" s="15"/>
      <c r="M198" s="46"/>
      <c r="N198" s="47"/>
      <c r="O198" s="15"/>
      <c r="P198" s="15"/>
      <c r="Q198" s="54"/>
      <c r="R198" s="54"/>
      <c r="S198" s="15"/>
      <c r="T198" s="15"/>
      <c r="U198" s="65"/>
      <c r="V198" s="65"/>
      <c r="W198" s="15"/>
      <c r="X198" s="15"/>
      <c r="Y198" s="77"/>
      <c r="Z198" s="77"/>
      <c r="AA198" s="15"/>
      <c r="AB198" s="15"/>
      <c r="AC198" s="69">
        <f t="shared" si="19"/>
        <v>0</v>
      </c>
      <c r="AD198" s="69">
        <f t="shared" si="19"/>
        <v>0</v>
      </c>
      <c r="AE198" s="70"/>
      <c r="AF198" s="11">
        <f t="shared" si="24"/>
        <v>0</v>
      </c>
      <c r="BH198" s="148"/>
    </row>
    <row r="199" spans="1:60" ht="35.25" customHeight="1" hidden="1">
      <c r="A199" s="1">
        <v>2703</v>
      </c>
      <c r="B199" s="117" t="s">
        <v>205</v>
      </c>
      <c r="C199" s="120">
        <v>911</v>
      </c>
      <c r="D199" s="3"/>
      <c r="E199" s="68"/>
      <c r="F199" s="3"/>
      <c r="G199" s="68"/>
      <c r="H199" s="3">
        <f t="shared" si="27"/>
        <v>911</v>
      </c>
      <c r="I199" s="28"/>
      <c r="J199" s="28"/>
      <c r="K199" s="15"/>
      <c r="L199" s="15"/>
      <c r="M199" s="46"/>
      <c r="N199" s="47"/>
      <c r="O199" s="15"/>
      <c r="P199" s="15"/>
      <c r="Q199" s="54"/>
      <c r="R199" s="54"/>
      <c r="S199" s="15"/>
      <c r="T199" s="15"/>
      <c r="U199" s="65"/>
      <c r="V199" s="65"/>
      <c r="W199" s="15"/>
      <c r="X199" s="15"/>
      <c r="Y199" s="77"/>
      <c r="Z199" s="77"/>
      <c r="AA199" s="15"/>
      <c r="AB199" s="15"/>
      <c r="AC199" s="69">
        <f t="shared" si="19"/>
        <v>0</v>
      </c>
      <c r="AD199" s="69">
        <f t="shared" si="19"/>
        <v>0</v>
      </c>
      <c r="AE199" s="70"/>
      <c r="AF199" s="11">
        <f t="shared" si="24"/>
        <v>911</v>
      </c>
      <c r="BH199" s="148"/>
    </row>
    <row r="200" spans="1:60" ht="35.25" customHeight="1" hidden="1">
      <c r="A200" s="1">
        <v>2704</v>
      </c>
      <c r="B200" s="117" t="s">
        <v>123</v>
      </c>
      <c r="C200" s="120">
        <v>78896</v>
      </c>
      <c r="D200" s="3"/>
      <c r="E200" s="68"/>
      <c r="F200" s="3"/>
      <c r="G200" s="68"/>
      <c r="H200" s="3">
        <f t="shared" si="27"/>
        <v>78896</v>
      </c>
      <c r="I200" s="28"/>
      <c r="J200" s="28"/>
      <c r="K200" s="15"/>
      <c r="L200" s="15"/>
      <c r="M200" s="46"/>
      <c r="N200" s="47"/>
      <c r="O200" s="15"/>
      <c r="P200" s="15"/>
      <c r="Q200" s="54"/>
      <c r="R200" s="54"/>
      <c r="S200" s="15"/>
      <c r="T200" s="15"/>
      <c r="U200" s="65"/>
      <c r="V200" s="65"/>
      <c r="W200" s="15"/>
      <c r="X200" s="15"/>
      <c r="Y200" s="77"/>
      <c r="Z200" s="77"/>
      <c r="AA200" s="15"/>
      <c r="AB200" s="15"/>
      <c r="AC200" s="69">
        <f aca="true" t="shared" si="28" ref="AC200:AD264">I200+K200+M200+O200+Q200+S200+U200+W200+Y200+AA200</f>
        <v>0</v>
      </c>
      <c r="AD200" s="69">
        <f t="shared" si="28"/>
        <v>0</v>
      </c>
      <c r="AE200" s="70"/>
      <c r="AF200" s="11">
        <f t="shared" si="24"/>
        <v>78896</v>
      </c>
      <c r="BH200" s="148"/>
    </row>
    <row r="201" spans="1:60" ht="37.5" customHeight="1" hidden="1">
      <c r="A201" s="1">
        <v>2712</v>
      </c>
      <c r="B201" s="117" t="s">
        <v>543</v>
      </c>
      <c r="C201" s="132">
        <v>64189</v>
      </c>
      <c r="D201" s="3"/>
      <c r="E201" s="68"/>
      <c r="F201" s="3"/>
      <c r="G201" s="68"/>
      <c r="H201" s="3">
        <f t="shared" si="27"/>
        <v>64189</v>
      </c>
      <c r="I201" s="28"/>
      <c r="J201" s="28"/>
      <c r="K201" s="15"/>
      <c r="L201" s="15"/>
      <c r="M201" s="46"/>
      <c r="N201" s="47"/>
      <c r="O201" s="15"/>
      <c r="P201" s="15"/>
      <c r="Q201" s="54"/>
      <c r="R201" s="54"/>
      <c r="S201" s="15"/>
      <c r="T201" s="15"/>
      <c r="U201" s="65"/>
      <c r="V201" s="65"/>
      <c r="W201" s="15"/>
      <c r="X201" s="15"/>
      <c r="Y201" s="77"/>
      <c r="Z201" s="77"/>
      <c r="AA201" s="15"/>
      <c r="AB201" s="15"/>
      <c r="AC201" s="69">
        <f t="shared" si="28"/>
        <v>0</v>
      </c>
      <c r="AD201" s="69">
        <f t="shared" si="28"/>
        <v>0</v>
      </c>
      <c r="AE201" s="70"/>
      <c r="AF201" s="11">
        <f t="shared" si="24"/>
        <v>64189</v>
      </c>
      <c r="BH201" s="148"/>
    </row>
    <row r="202" spans="1:60" ht="18" customHeight="1">
      <c r="A202" s="12"/>
      <c r="B202" s="117" t="s">
        <v>206</v>
      </c>
      <c r="C202" s="120">
        <f>1174233</f>
        <v>1174233</v>
      </c>
      <c r="D202" s="5">
        <f aca="true" t="shared" si="29" ref="D202:AB202">SUM(D203:D206)</f>
        <v>0</v>
      </c>
      <c r="E202" s="5"/>
      <c r="F202" s="5">
        <f t="shared" si="29"/>
        <v>0</v>
      </c>
      <c r="G202" s="5"/>
      <c r="H202" s="5">
        <f t="shared" si="29"/>
        <v>1174233</v>
      </c>
      <c r="I202" s="5">
        <f t="shared" si="29"/>
        <v>0</v>
      </c>
      <c r="J202" s="5">
        <f t="shared" si="29"/>
        <v>0</v>
      </c>
      <c r="K202" s="5">
        <f t="shared" si="29"/>
        <v>0</v>
      </c>
      <c r="L202" s="5">
        <f t="shared" si="29"/>
        <v>0</v>
      </c>
      <c r="M202" s="5">
        <f t="shared" si="29"/>
        <v>0</v>
      </c>
      <c r="N202" s="5">
        <f t="shared" si="29"/>
        <v>0</v>
      </c>
      <c r="O202" s="5">
        <f t="shared" si="29"/>
        <v>0</v>
      </c>
      <c r="P202" s="5">
        <f t="shared" si="29"/>
        <v>0</v>
      </c>
      <c r="Q202" s="5">
        <f t="shared" si="29"/>
        <v>0</v>
      </c>
      <c r="R202" s="5">
        <f t="shared" si="29"/>
        <v>0</v>
      </c>
      <c r="S202" s="5">
        <f t="shared" si="29"/>
        <v>0</v>
      </c>
      <c r="T202" s="5">
        <f t="shared" si="29"/>
        <v>0</v>
      </c>
      <c r="U202" s="5">
        <f t="shared" si="29"/>
        <v>0</v>
      </c>
      <c r="V202" s="5">
        <f t="shared" si="29"/>
        <v>0</v>
      </c>
      <c r="W202" s="5">
        <f t="shared" si="29"/>
        <v>0</v>
      </c>
      <c r="X202" s="5">
        <f t="shared" si="29"/>
        <v>0</v>
      </c>
      <c r="Y202" s="5">
        <f t="shared" si="29"/>
        <v>0</v>
      </c>
      <c r="Z202" s="7">
        <f t="shared" si="29"/>
        <v>0</v>
      </c>
      <c r="AA202" s="5">
        <f t="shared" si="29"/>
        <v>0</v>
      </c>
      <c r="AB202" s="5">
        <f t="shared" si="29"/>
        <v>0</v>
      </c>
      <c r="AC202" s="5">
        <f t="shared" si="28"/>
        <v>0</v>
      </c>
      <c r="AD202" s="5">
        <f t="shared" si="28"/>
        <v>0</v>
      </c>
      <c r="AE202" s="5">
        <f>SUM(AE203:AE206)</f>
        <v>0</v>
      </c>
      <c r="AF202" s="10">
        <f t="shared" si="24"/>
        <v>1174233</v>
      </c>
      <c r="BH202" s="148">
        <v>1968489</v>
      </c>
    </row>
    <row r="203" spans="1:60" ht="42" customHeight="1" hidden="1">
      <c r="A203" s="1">
        <v>2066</v>
      </c>
      <c r="B203" s="117" t="s">
        <v>207</v>
      </c>
      <c r="C203" s="120">
        <v>1163064</v>
      </c>
      <c r="D203" s="3"/>
      <c r="E203" s="68"/>
      <c r="F203" s="3"/>
      <c r="G203" s="68"/>
      <c r="H203" s="3">
        <f>C203+F203-D203</f>
        <v>1163064</v>
      </c>
      <c r="I203" s="28"/>
      <c r="J203" s="28"/>
      <c r="K203" s="15"/>
      <c r="L203" s="15"/>
      <c r="M203" s="46"/>
      <c r="N203" s="47"/>
      <c r="O203" s="15"/>
      <c r="P203" s="15"/>
      <c r="Q203" s="54"/>
      <c r="R203" s="54"/>
      <c r="S203" s="15"/>
      <c r="T203" s="15"/>
      <c r="U203" s="65"/>
      <c r="V203" s="65"/>
      <c r="W203" s="15"/>
      <c r="X203" s="15"/>
      <c r="Y203" s="77"/>
      <c r="Z203" s="77"/>
      <c r="AA203" s="15"/>
      <c r="AB203" s="15"/>
      <c r="AC203" s="69">
        <f t="shared" si="28"/>
        <v>0</v>
      </c>
      <c r="AD203" s="69">
        <f t="shared" si="28"/>
        <v>0</v>
      </c>
      <c r="AE203" s="70"/>
      <c r="AF203" s="11">
        <f t="shared" si="24"/>
        <v>1163064</v>
      </c>
      <c r="BH203" s="148"/>
    </row>
    <row r="204" spans="1:60" ht="56.25" customHeight="1" hidden="1">
      <c r="A204" s="14">
        <v>2069</v>
      </c>
      <c r="B204" s="117" t="s">
        <v>0</v>
      </c>
      <c r="C204" s="120"/>
      <c r="D204" s="3"/>
      <c r="E204" s="68"/>
      <c r="F204" s="3"/>
      <c r="G204" s="68"/>
      <c r="H204" s="3">
        <f>C204+F204-D204</f>
        <v>0</v>
      </c>
      <c r="I204" s="28"/>
      <c r="J204" s="28"/>
      <c r="K204" s="15"/>
      <c r="L204" s="15"/>
      <c r="M204" s="46"/>
      <c r="N204" s="47"/>
      <c r="O204" s="15"/>
      <c r="P204" s="15"/>
      <c r="Q204" s="54"/>
      <c r="R204" s="54"/>
      <c r="S204" s="15"/>
      <c r="T204" s="15"/>
      <c r="U204" s="65"/>
      <c r="V204" s="65"/>
      <c r="W204" s="15"/>
      <c r="X204" s="15"/>
      <c r="Y204" s="77"/>
      <c r="Z204" s="77"/>
      <c r="AA204" s="15"/>
      <c r="AB204" s="15"/>
      <c r="AC204" s="69">
        <f t="shared" si="28"/>
        <v>0</v>
      </c>
      <c r="AD204" s="69">
        <f t="shared" si="28"/>
        <v>0</v>
      </c>
      <c r="AE204" s="70"/>
      <c r="AF204" s="11">
        <f t="shared" si="24"/>
        <v>0</v>
      </c>
      <c r="BH204" s="148"/>
    </row>
    <row r="205" spans="1:60" ht="46.5" customHeight="1" hidden="1">
      <c r="A205" s="14">
        <v>2070</v>
      </c>
      <c r="B205" s="117" t="s">
        <v>1</v>
      </c>
      <c r="C205" s="120"/>
      <c r="D205" s="3"/>
      <c r="E205" s="68"/>
      <c r="F205" s="3"/>
      <c r="G205" s="68"/>
      <c r="H205" s="3">
        <f>C205+F205-D205</f>
        <v>0</v>
      </c>
      <c r="I205" s="28"/>
      <c r="J205" s="28"/>
      <c r="K205" s="15"/>
      <c r="L205" s="15"/>
      <c r="M205" s="46"/>
      <c r="N205" s="47"/>
      <c r="O205" s="15"/>
      <c r="P205" s="15"/>
      <c r="Q205" s="54"/>
      <c r="R205" s="54"/>
      <c r="S205" s="15"/>
      <c r="T205" s="15"/>
      <c r="U205" s="65"/>
      <c r="V205" s="65"/>
      <c r="W205" s="15"/>
      <c r="X205" s="15"/>
      <c r="Y205" s="77"/>
      <c r="Z205" s="77"/>
      <c r="AA205" s="15"/>
      <c r="AB205" s="15"/>
      <c r="AC205" s="69">
        <f t="shared" si="28"/>
        <v>0</v>
      </c>
      <c r="AD205" s="69">
        <f t="shared" si="28"/>
        <v>0</v>
      </c>
      <c r="AE205" s="70"/>
      <c r="AF205" s="11">
        <f t="shared" si="24"/>
        <v>0</v>
      </c>
      <c r="BH205" s="148"/>
    </row>
    <row r="206" spans="1:60" ht="48.75" customHeight="1" hidden="1">
      <c r="A206" s="1">
        <v>2706</v>
      </c>
      <c r="B206" s="117" t="s">
        <v>208</v>
      </c>
      <c r="C206" s="120">
        <v>11169</v>
      </c>
      <c r="D206" s="3"/>
      <c r="E206" s="68"/>
      <c r="F206" s="3"/>
      <c r="G206" s="68"/>
      <c r="H206" s="3">
        <f>C206+F206-D206</f>
        <v>11169</v>
      </c>
      <c r="I206" s="28"/>
      <c r="J206" s="28"/>
      <c r="K206" s="15"/>
      <c r="L206" s="15"/>
      <c r="M206" s="46"/>
      <c r="N206" s="47"/>
      <c r="O206" s="15"/>
      <c r="P206" s="15"/>
      <c r="Q206" s="54"/>
      <c r="R206" s="54"/>
      <c r="S206" s="15"/>
      <c r="T206" s="15"/>
      <c r="U206" s="65"/>
      <c r="V206" s="65"/>
      <c r="W206" s="15"/>
      <c r="X206" s="15"/>
      <c r="Y206" s="77"/>
      <c r="Z206" s="77"/>
      <c r="AA206" s="15"/>
      <c r="AB206" s="15"/>
      <c r="AC206" s="69">
        <f t="shared" si="28"/>
        <v>0</v>
      </c>
      <c r="AD206" s="69">
        <f t="shared" si="28"/>
        <v>0</v>
      </c>
      <c r="AE206" s="70"/>
      <c r="AF206" s="11">
        <f t="shared" si="24"/>
        <v>11169</v>
      </c>
      <c r="BH206" s="148"/>
    </row>
    <row r="207" spans="1:60" ht="20.25" customHeight="1">
      <c r="A207" s="12"/>
      <c r="B207" s="117" t="s">
        <v>209</v>
      </c>
      <c r="C207" s="120">
        <f>430565675</f>
        <v>430565675</v>
      </c>
      <c r="D207" s="5">
        <f>SUM(D208:D233)</f>
        <v>4462678</v>
      </c>
      <c r="E207" s="67"/>
      <c r="F207" s="5">
        <f>SUM(F208:F233)</f>
        <v>1566422</v>
      </c>
      <c r="G207" s="67"/>
      <c r="H207" s="5">
        <f>SUM(H208:H233)</f>
        <v>420915299</v>
      </c>
      <c r="I207" s="36">
        <f aca="true" t="shared" si="30" ref="I207:AB207">SUM(I208:I233)</f>
        <v>0</v>
      </c>
      <c r="J207" s="36">
        <f t="shared" si="30"/>
        <v>3765708</v>
      </c>
      <c r="K207" s="17">
        <f t="shared" si="30"/>
        <v>0</v>
      </c>
      <c r="L207" s="17">
        <f t="shared" si="30"/>
        <v>0</v>
      </c>
      <c r="M207" s="17">
        <f t="shared" si="30"/>
        <v>0</v>
      </c>
      <c r="N207" s="17">
        <f t="shared" si="30"/>
        <v>0</v>
      </c>
      <c r="O207" s="17">
        <f t="shared" si="30"/>
        <v>125789</v>
      </c>
      <c r="P207" s="17">
        <f t="shared" si="30"/>
        <v>0</v>
      </c>
      <c r="Q207" s="17">
        <f t="shared" si="30"/>
        <v>0</v>
      </c>
      <c r="R207" s="17">
        <f t="shared" si="30"/>
        <v>477050</v>
      </c>
      <c r="S207" s="17">
        <f t="shared" si="30"/>
        <v>0</v>
      </c>
      <c r="T207" s="17">
        <f t="shared" si="30"/>
        <v>0</v>
      </c>
      <c r="U207" s="5">
        <f t="shared" si="30"/>
        <v>0</v>
      </c>
      <c r="V207" s="5">
        <f t="shared" si="30"/>
        <v>0</v>
      </c>
      <c r="W207" s="5">
        <f t="shared" si="30"/>
        <v>70782335</v>
      </c>
      <c r="X207" s="5">
        <f t="shared" si="30"/>
        <v>0</v>
      </c>
      <c r="Y207" s="5">
        <f t="shared" si="30"/>
        <v>0</v>
      </c>
      <c r="Z207" s="7">
        <f t="shared" si="30"/>
        <v>0</v>
      </c>
      <c r="AA207" s="5">
        <f t="shared" si="30"/>
        <v>0</v>
      </c>
      <c r="AB207" s="5">
        <f t="shared" si="30"/>
        <v>0</v>
      </c>
      <c r="AC207" s="5">
        <f t="shared" si="28"/>
        <v>70908124</v>
      </c>
      <c r="AD207" s="5">
        <f t="shared" si="28"/>
        <v>4242758</v>
      </c>
      <c r="AE207" s="5">
        <f>SUM(AE208:AE233)</f>
        <v>0</v>
      </c>
      <c r="AF207" s="10">
        <f t="shared" si="24"/>
        <v>354249933</v>
      </c>
      <c r="BH207" s="148">
        <v>113930902</v>
      </c>
    </row>
    <row r="208" spans="1:60" ht="28.5" customHeight="1" hidden="1">
      <c r="A208" s="1">
        <v>2203</v>
      </c>
      <c r="B208" s="117" t="s">
        <v>210</v>
      </c>
      <c r="C208" s="134">
        <v>62069062</v>
      </c>
      <c r="D208" s="3"/>
      <c r="E208" s="68"/>
      <c r="F208" s="85">
        <f>4331+651076+14+839989+10381</f>
        <v>1505791</v>
      </c>
      <c r="G208" s="68" t="s">
        <v>197</v>
      </c>
      <c r="H208" s="3">
        <f aca="true" t="shared" si="31" ref="H208:H233">C208+F208-D208</f>
        <v>63574853</v>
      </c>
      <c r="I208" s="28"/>
      <c r="J208" s="28">
        <v>1784086</v>
      </c>
      <c r="K208" s="15"/>
      <c r="L208" s="15"/>
      <c r="M208" s="46"/>
      <c r="N208" s="150"/>
      <c r="O208" s="19">
        <f>502+4544+120743</f>
        <v>125789</v>
      </c>
      <c r="P208" s="15"/>
      <c r="Q208" s="54"/>
      <c r="R208" s="54">
        <v>312842</v>
      </c>
      <c r="S208" s="15"/>
      <c r="T208" s="15"/>
      <c r="U208" s="65"/>
      <c r="V208" s="65"/>
      <c r="W208" s="15"/>
      <c r="X208" s="15"/>
      <c r="Y208" s="77"/>
      <c r="Z208" s="77"/>
      <c r="AA208" s="15"/>
      <c r="AB208" s="15"/>
      <c r="AC208" s="69">
        <f t="shared" si="28"/>
        <v>125789</v>
      </c>
      <c r="AD208" s="69">
        <f t="shared" si="28"/>
        <v>2096928</v>
      </c>
      <c r="AE208" s="70"/>
      <c r="AF208" s="11">
        <f t="shared" si="24"/>
        <v>65545992</v>
      </c>
      <c r="BH208" s="148"/>
    </row>
    <row r="209" spans="1:60" ht="48" customHeight="1" hidden="1">
      <c r="A209" s="1">
        <v>2204</v>
      </c>
      <c r="B209" s="117" t="s">
        <v>213</v>
      </c>
      <c r="C209" s="134">
        <v>3041198</v>
      </c>
      <c r="D209" s="3"/>
      <c r="E209" s="68"/>
      <c r="F209" s="3"/>
      <c r="G209" s="68"/>
      <c r="H209" s="3">
        <f t="shared" si="31"/>
        <v>3041198</v>
      </c>
      <c r="I209" s="28"/>
      <c r="J209" s="28"/>
      <c r="K209" s="149"/>
      <c r="L209" s="15"/>
      <c r="M209" s="46"/>
      <c r="N209" s="47"/>
      <c r="O209" s="149"/>
      <c r="P209" s="15"/>
      <c r="Q209" s="54"/>
      <c r="R209" s="54"/>
      <c r="S209" s="15"/>
      <c r="T209" s="15"/>
      <c r="U209" s="65"/>
      <c r="V209" s="65"/>
      <c r="W209" s="15"/>
      <c r="X209" s="15"/>
      <c r="Y209" s="77"/>
      <c r="Z209" s="77"/>
      <c r="AA209" s="15"/>
      <c r="AB209" s="15"/>
      <c r="AC209" s="69">
        <f t="shared" si="28"/>
        <v>0</v>
      </c>
      <c r="AD209" s="69">
        <f t="shared" si="28"/>
        <v>0</v>
      </c>
      <c r="AE209" s="70"/>
      <c r="AF209" s="11">
        <f t="shared" si="24"/>
        <v>3041198</v>
      </c>
      <c r="BH209" s="148"/>
    </row>
    <row r="210" spans="1:60" ht="51.75" customHeight="1" hidden="1">
      <c r="A210" s="1">
        <v>2205</v>
      </c>
      <c r="B210" s="117" t="s">
        <v>214</v>
      </c>
      <c r="C210" s="120"/>
      <c r="D210" s="3"/>
      <c r="E210" s="68"/>
      <c r="F210" s="3"/>
      <c r="G210" s="68"/>
      <c r="H210" s="3">
        <f t="shared" si="31"/>
        <v>0</v>
      </c>
      <c r="I210" s="28"/>
      <c r="J210" s="28"/>
      <c r="K210" s="15"/>
      <c r="L210" s="15"/>
      <c r="M210" s="46"/>
      <c r="N210" s="47"/>
      <c r="O210" s="15"/>
      <c r="P210" s="15"/>
      <c r="Q210" s="54"/>
      <c r="R210" s="54"/>
      <c r="S210" s="15"/>
      <c r="T210" s="15"/>
      <c r="U210" s="65"/>
      <c r="V210" s="65"/>
      <c r="W210" s="15"/>
      <c r="X210" s="15"/>
      <c r="Y210" s="77"/>
      <c r="Z210" s="77"/>
      <c r="AA210" s="15"/>
      <c r="AB210" s="15"/>
      <c r="AC210" s="69">
        <f t="shared" si="28"/>
        <v>0</v>
      </c>
      <c r="AD210" s="69">
        <f t="shared" si="28"/>
        <v>0</v>
      </c>
      <c r="AE210" s="70"/>
      <c r="AF210" s="11">
        <f t="shared" si="24"/>
        <v>0</v>
      </c>
      <c r="BH210" s="148"/>
    </row>
    <row r="211" spans="1:60" ht="57" customHeight="1" hidden="1">
      <c r="A211" s="1">
        <v>2206</v>
      </c>
      <c r="B211" s="117" t="s">
        <v>215</v>
      </c>
      <c r="C211" s="120">
        <v>1320393</v>
      </c>
      <c r="D211" s="3"/>
      <c r="E211" s="68"/>
      <c r="F211" s="3"/>
      <c r="G211" s="68"/>
      <c r="H211" s="3">
        <f t="shared" si="31"/>
        <v>1320393</v>
      </c>
      <c r="I211" s="28"/>
      <c r="J211" s="28"/>
      <c r="K211" s="15"/>
      <c r="L211" s="15"/>
      <c r="M211" s="46"/>
      <c r="N211" s="47"/>
      <c r="O211" s="15"/>
      <c r="P211" s="15"/>
      <c r="Q211" s="54"/>
      <c r="R211" s="54"/>
      <c r="S211" s="15"/>
      <c r="T211" s="15"/>
      <c r="U211" s="65"/>
      <c r="V211" s="65"/>
      <c r="W211" s="15"/>
      <c r="X211" s="15"/>
      <c r="Y211" s="77"/>
      <c r="Z211" s="77"/>
      <c r="AA211" s="15"/>
      <c r="AB211" s="15"/>
      <c r="AC211" s="69">
        <f t="shared" si="28"/>
        <v>0</v>
      </c>
      <c r="AD211" s="69">
        <f t="shared" si="28"/>
        <v>0</v>
      </c>
      <c r="AE211" s="70"/>
      <c r="AF211" s="11">
        <f t="shared" si="24"/>
        <v>1320393</v>
      </c>
      <c r="BH211" s="148"/>
    </row>
    <row r="212" spans="1:60" ht="51" customHeight="1" hidden="1">
      <c r="A212" s="1">
        <v>2207</v>
      </c>
      <c r="B212" s="117" t="s">
        <v>216</v>
      </c>
      <c r="C212" s="134">
        <v>56260932</v>
      </c>
      <c r="D212" s="3"/>
      <c r="E212" s="68"/>
      <c r="F212" s="3"/>
      <c r="G212" s="68"/>
      <c r="H212" s="3">
        <f t="shared" si="31"/>
        <v>56260932</v>
      </c>
      <c r="I212" s="28"/>
      <c r="J212" s="28"/>
      <c r="K212" s="15"/>
      <c r="L212" s="15"/>
      <c r="M212" s="46"/>
      <c r="N212" s="47"/>
      <c r="O212" s="15"/>
      <c r="P212" s="15"/>
      <c r="Q212" s="54"/>
      <c r="R212" s="54"/>
      <c r="S212" s="15"/>
      <c r="T212" s="15"/>
      <c r="U212" s="65"/>
      <c r="V212" s="65"/>
      <c r="W212" s="15"/>
      <c r="X212" s="15"/>
      <c r="Y212" s="77"/>
      <c r="Z212" s="77"/>
      <c r="AA212" s="15"/>
      <c r="AB212" s="15"/>
      <c r="AC212" s="69">
        <f t="shared" si="28"/>
        <v>0</v>
      </c>
      <c r="AD212" s="69">
        <f t="shared" si="28"/>
        <v>0</v>
      </c>
      <c r="AE212" s="70"/>
      <c r="AF212" s="11">
        <f t="shared" si="24"/>
        <v>56260932</v>
      </c>
      <c r="BH212" s="148"/>
    </row>
    <row r="213" spans="1:60" ht="55.5" customHeight="1" hidden="1">
      <c r="A213" s="1">
        <v>2208</v>
      </c>
      <c r="B213" s="117" t="s">
        <v>217</v>
      </c>
      <c r="C213" s="120">
        <v>399</v>
      </c>
      <c r="D213" s="3"/>
      <c r="E213" s="68"/>
      <c r="F213" s="3"/>
      <c r="G213" s="68"/>
      <c r="H213" s="3">
        <f t="shared" si="31"/>
        <v>399</v>
      </c>
      <c r="I213" s="28"/>
      <c r="J213" s="28"/>
      <c r="K213" s="15"/>
      <c r="L213" s="15"/>
      <c r="M213" s="46"/>
      <c r="N213" s="47"/>
      <c r="O213" s="15"/>
      <c r="P213" s="15"/>
      <c r="Q213" s="54"/>
      <c r="R213" s="54"/>
      <c r="S213" s="15"/>
      <c r="T213" s="15"/>
      <c r="U213" s="65"/>
      <c r="V213" s="65"/>
      <c r="W213" s="15"/>
      <c r="X213" s="15"/>
      <c r="Y213" s="77"/>
      <c r="Z213" s="77"/>
      <c r="AA213" s="15"/>
      <c r="AB213" s="15"/>
      <c r="AC213" s="69">
        <f t="shared" si="28"/>
        <v>0</v>
      </c>
      <c r="AD213" s="69">
        <f t="shared" si="28"/>
        <v>0</v>
      </c>
      <c r="AE213" s="70"/>
      <c r="AF213" s="11">
        <f t="shared" si="24"/>
        <v>399</v>
      </c>
      <c r="BH213" s="148"/>
    </row>
    <row r="214" spans="1:60" ht="51.75" customHeight="1" hidden="1">
      <c r="A214" s="1">
        <v>2209</v>
      </c>
      <c r="B214" s="117" t="s">
        <v>218</v>
      </c>
      <c r="C214" s="120">
        <v>2120150</v>
      </c>
      <c r="D214" s="3"/>
      <c r="E214" s="68"/>
      <c r="F214" s="85">
        <f>60631</f>
        <v>60631</v>
      </c>
      <c r="G214" s="68" t="s">
        <v>436</v>
      </c>
      <c r="H214" s="3">
        <f t="shared" si="31"/>
        <v>2180781</v>
      </c>
      <c r="I214" s="28"/>
      <c r="J214" s="28"/>
      <c r="K214" s="15"/>
      <c r="L214" s="15"/>
      <c r="M214" s="46"/>
      <c r="N214" s="47"/>
      <c r="O214" s="15"/>
      <c r="P214" s="15"/>
      <c r="Q214" s="54"/>
      <c r="R214" s="54"/>
      <c r="S214" s="15"/>
      <c r="T214" s="15"/>
      <c r="U214" s="65"/>
      <c r="V214" s="65"/>
      <c r="W214" s="15"/>
      <c r="X214" s="15"/>
      <c r="Y214" s="77"/>
      <c r="Z214" s="77"/>
      <c r="AA214" s="15"/>
      <c r="AB214" s="15"/>
      <c r="AC214" s="69">
        <f t="shared" si="28"/>
        <v>0</v>
      </c>
      <c r="AD214" s="69">
        <f t="shared" si="28"/>
        <v>0</v>
      </c>
      <c r="AE214" s="70"/>
      <c r="AF214" s="11">
        <f t="shared" si="24"/>
        <v>2180781</v>
      </c>
      <c r="BH214" s="148"/>
    </row>
    <row r="215" spans="1:60" ht="28.5" customHeight="1" hidden="1">
      <c r="A215" s="1">
        <v>2211</v>
      </c>
      <c r="B215" s="117" t="s">
        <v>546</v>
      </c>
      <c r="C215" s="120"/>
      <c r="D215" s="3"/>
      <c r="E215" s="68"/>
      <c r="F215" s="3"/>
      <c r="G215" s="68"/>
      <c r="H215" s="3">
        <f t="shared" si="31"/>
        <v>0</v>
      </c>
      <c r="I215" s="28"/>
      <c r="J215" s="28">
        <v>369988</v>
      </c>
      <c r="K215" s="15"/>
      <c r="L215" s="15"/>
      <c r="M215" s="46"/>
      <c r="N215" s="47"/>
      <c r="O215" s="15"/>
      <c r="P215" s="15"/>
      <c r="Q215" s="54"/>
      <c r="R215" s="54">
        <v>7490</v>
      </c>
      <c r="S215" s="15"/>
      <c r="T215" s="15"/>
      <c r="U215" s="65"/>
      <c r="V215" s="65"/>
      <c r="W215" s="15"/>
      <c r="X215" s="15"/>
      <c r="Y215" s="77"/>
      <c r="Z215" s="77"/>
      <c r="AA215" s="15"/>
      <c r="AB215" s="15"/>
      <c r="AC215" s="69">
        <f t="shared" si="28"/>
        <v>0</v>
      </c>
      <c r="AD215" s="69">
        <f t="shared" si="28"/>
        <v>377478</v>
      </c>
      <c r="AE215" s="70"/>
      <c r="AF215" s="11">
        <f t="shared" si="24"/>
        <v>377478</v>
      </c>
      <c r="BH215" s="148"/>
    </row>
    <row r="216" spans="1:60" ht="39" customHeight="1" hidden="1">
      <c r="A216" s="14">
        <v>2212</v>
      </c>
      <c r="B216" s="117" t="s">
        <v>2</v>
      </c>
      <c r="C216" s="120">
        <v>4517563</v>
      </c>
      <c r="D216" s="3">
        <f>4462678</f>
        <v>4462678</v>
      </c>
      <c r="E216" s="68" t="s">
        <v>438</v>
      </c>
      <c r="F216" s="3"/>
      <c r="G216" s="68"/>
      <c r="H216" s="3">
        <f>C216+F216-D216</f>
        <v>54885</v>
      </c>
      <c r="I216" s="28"/>
      <c r="J216" s="28"/>
      <c r="K216" s="15"/>
      <c r="L216" s="15"/>
      <c r="M216" s="46"/>
      <c r="N216" s="47"/>
      <c r="O216" s="15"/>
      <c r="P216" s="15"/>
      <c r="Q216" s="54"/>
      <c r="R216" s="54"/>
      <c r="S216" s="15"/>
      <c r="T216" s="15"/>
      <c r="U216" s="65"/>
      <c r="V216" s="65"/>
      <c r="W216" s="15"/>
      <c r="X216" s="15"/>
      <c r="Y216" s="77"/>
      <c r="Z216" s="77"/>
      <c r="AA216" s="15"/>
      <c r="AB216" s="15"/>
      <c r="AC216" s="69">
        <f t="shared" si="28"/>
        <v>0</v>
      </c>
      <c r="AD216" s="69">
        <f t="shared" si="28"/>
        <v>0</v>
      </c>
      <c r="AE216" s="70"/>
      <c r="AF216" s="11">
        <f t="shared" si="24"/>
        <v>54885</v>
      </c>
      <c r="BH216" s="148"/>
    </row>
    <row r="217" spans="1:60" ht="57" customHeight="1" hidden="1">
      <c r="A217" s="14">
        <v>2213</v>
      </c>
      <c r="B217" s="117" t="s">
        <v>3</v>
      </c>
      <c r="C217" s="134">
        <v>4027612</v>
      </c>
      <c r="D217" s="3"/>
      <c r="E217" s="68"/>
      <c r="F217" s="3"/>
      <c r="G217" s="68"/>
      <c r="H217" s="3">
        <f t="shared" si="31"/>
        <v>4027612</v>
      </c>
      <c r="I217" s="28"/>
      <c r="J217" s="28"/>
      <c r="K217" s="15"/>
      <c r="L217" s="15"/>
      <c r="M217" s="46"/>
      <c r="N217" s="47"/>
      <c r="O217" s="15"/>
      <c r="P217" s="15"/>
      <c r="Q217" s="54"/>
      <c r="R217" s="54"/>
      <c r="S217" s="15"/>
      <c r="T217" s="15"/>
      <c r="U217" s="65"/>
      <c r="V217" s="65"/>
      <c r="W217" s="15"/>
      <c r="X217" s="15"/>
      <c r="Y217" s="77"/>
      <c r="Z217" s="77"/>
      <c r="AA217" s="15"/>
      <c r="AB217" s="15"/>
      <c r="AC217" s="69">
        <f t="shared" si="28"/>
        <v>0</v>
      </c>
      <c r="AD217" s="69">
        <f t="shared" si="28"/>
        <v>0</v>
      </c>
      <c r="AE217" s="70"/>
      <c r="AF217" s="11">
        <f t="shared" si="24"/>
        <v>4027612</v>
      </c>
      <c r="BH217" s="148"/>
    </row>
    <row r="218" spans="1:60" ht="28.5" customHeight="1" hidden="1">
      <c r="A218" s="1">
        <v>2215</v>
      </c>
      <c r="B218" s="117" t="s">
        <v>219</v>
      </c>
      <c r="C218" s="120">
        <v>191572477</v>
      </c>
      <c r="D218" s="3"/>
      <c r="E218" s="68"/>
      <c r="F218" s="92"/>
      <c r="G218" s="68"/>
      <c r="H218" s="3">
        <f t="shared" si="31"/>
        <v>191572477</v>
      </c>
      <c r="I218" s="28"/>
      <c r="J218" s="28">
        <v>642596</v>
      </c>
      <c r="K218" s="15"/>
      <c r="L218" s="15"/>
      <c r="M218" s="46"/>
      <c r="N218" s="150"/>
      <c r="O218" s="19"/>
      <c r="P218" s="15"/>
      <c r="Q218" s="54"/>
      <c r="R218" s="54">
        <v>38483</v>
      </c>
      <c r="S218" s="15"/>
      <c r="T218" s="15"/>
      <c r="U218" s="65"/>
      <c r="V218" s="65"/>
      <c r="W218" s="15"/>
      <c r="X218" s="15"/>
      <c r="Y218" s="77"/>
      <c r="Z218" s="77"/>
      <c r="AA218" s="15"/>
      <c r="AB218" s="15"/>
      <c r="AC218" s="69">
        <f t="shared" si="28"/>
        <v>0</v>
      </c>
      <c r="AD218" s="69">
        <f t="shared" si="28"/>
        <v>681079</v>
      </c>
      <c r="AE218" s="70"/>
      <c r="AF218" s="11">
        <f t="shared" si="24"/>
        <v>192253556</v>
      </c>
      <c r="BH218" s="148"/>
    </row>
    <row r="219" spans="1:60" ht="28.5" customHeight="1" hidden="1">
      <c r="A219" s="1">
        <v>2217</v>
      </c>
      <c r="B219" s="117" t="s">
        <v>220</v>
      </c>
      <c r="C219" s="134">
        <v>7157270</v>
      </c>
      <c r="D219" s="3"/>
      <c r="E219" s="68"/>
      <c r="F219" s="3"/>
      <c r="G219" s="68"/>
      <c r="H219" s="3">
        <f t="shared" si="31"/>
        <v>7157270</v>
      </c>
      <c r="I219" s="28"/>
      <c r="J219" s="28">
        <v>407430</v>
      </c>
      <c r="K219" s="15"/>
      <c r="L219" s="15"/>
      <c r="M219" s="46"/>
      <c r="N219" s="150"/>
      <c r="O219" s="15"/>
      <c r="P219" s="15"/>
      <c r="Q219" s="54"/>
      <c r="R219" s="54">
        <v>118235</v>
      </c>
      <c r="S219" s="15"/>
      <c r="T219" s="15"/>
      <c r="U219" s="65"/>
      <c r="V219" s="65"/>
      <c r="W219" s="15"/>
      <c r="X219" s="15"/>
      <c r="Y219" s="77"/>
      <c r="Z219" s="77"/>
      <c r="AA219" s="15"/>
      <c r="AB219" s="15"/>
      <c r="AC219" s="69">
        <f t="shared" si="28"/>
        <v>0</v>
      </c>
      <c r="AD219" s="69">
        <f t="shared" si="28"/>
        <v>525665</v>
      </c>
      <c r="AE219" s="70"/>
      <c r="AF219" s="11">
        <f t="shared" si="24"/>
        <v>7682935</v>
      </c>
      <c r="BH219" s="148"/>
    </row>
    <row r="220" spans="1:60" ht="28.5" customHeight="1" hidden="1">
      <c r="A220" s="1">
        <v>2219</v>
      </c>
      <c r="B220" s="117" t="s">
        <v>221</v>
      </c>
      <c r="C220" s="120">
        <v>72032</v>
      </c>
      <c r="D220" s="3"/>
      <c r="E220" s="68"/>
      <c r="F220" s="3"/>
      <c r="G220" s="68"/>
      <c r="H220" s="3">
        <f t="shared" si="31"/>
        <v>72032</v>
      </c>
      <c r="I220" s="28"/>
      <c r="J220" s="28"/>
      <c r="K220" s="15"/>
      <c r="L220" s="15"/>
      <c r="M220" s="46"/>
      <c r="N220" s="47"/>
      <c r="O220" s="15"/>
      <c r="P220" s="15"/>
      <c r="Q220" s="54"/>
      <c r="R220" s="54"/>
      <c r="S220" s="15"/>
      <c r="T220" s="15"/>
      <c r="U220" s="65"/>
      <c r="V220" s="65"/>
      <c r="W220" s="15"/>
      <c r="X220" s="15"/>
      <c r="Y220" s="77"/>
      <c r="Z220" s="77"/>
      <c r="AA220" s="15"/>
      <c r="AB220" s="15"/>
      <c r="AC220" s="69">
        <f t="shared" si="28"/>
        <v>0</v>
      </c>
      <c r="AD220" s="69">
        <f t="shared" si="28"/>
        <v>0</v>
      </c>
      <c r="AE220" s="70"/>
      <c r="AF220" s="11">
        <f t="shared" si="24"/>
        <v>72032</v>
      </c>
      <c r="BH220" s="148"/>
    </row>
    <row r="221" spans="1:60" ht="28.5" customHeight="1" hidden="1">
      <c r="A221" s="1">
        <v>2221</v>
      </c>
      <c r="B221" s="117" t="s">
        <v>222</v>
      </c>
      <c r="C221" s="120">
        <v>88231</v>
      </c>
      <c r="D221" s="3"/>
      <c r="E221" s="68"/>
      <c r="F221" s="3"/>
      <c r="G221" s="68"/>
      <c r="H221" s="3">
        <f t="shared" si="31"/>
        <v>88231</v>
      </c>
      <c r="I221" s="28"/>
      <c r="J221" s="28"/>
      <c r="K221" s="15"/>
      <c r="L221" s="15"/>
      <c r="M221" s="46"/>
      <c r="N221" s="47"/>
      <c r="O221" s="15"/>
      <c r="P221" s="15"/>
      <c r="Q221" s="54"/>
      <c r="R221" s="54"/>
      <c r="S221" s="15"/>
      <c r="T221" s="15"/>
      <c r="U221" s="65"/>
      <c r="V221" s="65"/>
      <c r="W221" s="15"/>
      <c r="X221" s="15"/>
      <c r="Y221" s="77"/>
      <c r="Z221" s="77"/>
      <c r="AA221" s="15"/>
      <c r="AB221" s="15"/>
      <c r="AC221" s="69">
        <f t="shared" si="28"/>
        <v>0</v>
      </c>
      <c r="AD221" s="69">
        <f t="shared" si="28"/>
        <v>0</v>
      </c>
      <c r="AE221" s="70"/>
      <c r="AF221" s="11">
        <f t="shared" si="24"/>
        <v>88231</v>
      </c>
      <c r="BH221" s="148"/>
    </row>
    <row r="222" spans="1:60" ht="36" customHeight="1" hidden="1">
      <c r="A222" s="1">
        <v>2223</v>
      </c>
      <c r="B222" s="117" t="s">
        <v>223</v>
      </c>
      <c r="C222" s="134">
        <v>75613492</v>
      </c>
      <c r="D222" s="3"/>
      <c r="E222" s="68"/>
      <c r="F222" s="26"/>
      <c r="G222" s="68"/>
      <c r="H222" s="3">
        <f t="shared" si="31"/>
        <v>75613492</v>
      </c>
      <c r="I222" s="28"/>
      <c r="J222" s="28">
        <v>505404</v>
      </c>
      <c r="K222" s="15"/>
      <c r="L222" s="15"/>
      <c r="M222" s="46"/>
      <c r="N222" s="47"/>
      <c r="O222" s="15"/>
      <c r="P222" s="15"/>
      <c r="Q222" s="54"/>
      <c r="R222" s="54"/>
      <c r="S222" s="15"/>
      <c r="T222" s="15"/>
      <c r="U222" s="65"/>
      <c r="V222" s="65"/>
      <c r="W222" s="15">
        <v>69850000</v>
      </c>
      <c r="X222" s="15"/>
      <c r="Y222" s="77"/>
      <c r="Z222" s="77"/>
      <c r="AA222" s="15"/>
      <c r="AB222" s="15"/>
      <c r="AC222" s="69">
        <f t="shared" si="28"/>
        <v>69850000</v>
      </c>
      <c r="AD222" s="69">
        <f t="shared" si="28"/>
        <v>505404</v>
      </c>
      <c r="AE222" s="70"/>
      <c r="AF222" s="11">
        <f t="shared" si="24"/>
        <v>6268896</v>
      </c>
      <c r="BH222" s="148"/>
    </row>
    <row r="223" spans="1:60" ht="36" customHeight="1" hidden="1">
      <c r="A223" s="1">
        <v>2224</v>
      </c>
      <c r="B223" s="117" t="s">
        <v>140</v>
      </c>
      <c r="C223" s="132"/>
      <c r="D223" s="3"/>
      <c r="E223" s="68"/>
      <c r="F223" s="26"/>
      <c r="G223" s="68"/>
      <c r="H223" s="3">
        <f t="shared" si="31"/>
        <v>0</v>
      </c>
      <c r="I223" s="28"/>
      <c r="J223" s="28">
        <v>3287</v>
      </c>
      <c r="K223" s="15"/>
      <c r="L223" s="15"/>
      <c r="M223" s="46"/>
      <c r="N223" s="47"/>
      <c r="O223" s="15"/>
      <c r="P223" s="15"/>
      <c r="Q223" s="54"/>
      <c r="R223" s="54"/>
      <c r="S223" s="15"/>
      <c r="T223" s="15"/>
      <c r="U223" s="65"/>
      <c r="V223" s="65"/>
      <c r="W223" s="15"/>
      <c r="X223" s="15"/>
      <c r="Y223" s="77"/>
      <c r="Z223" s="77"/>
      <c r="AA223" s="15"/>
      <c r="AB223" s="15"/>
      <c r="AC223" s="69">
        <f t="shared" si="28"/>
        <v>0</v>
      </c>
      <c r="AD223" s="69">
        <f t="shared" si="28"/>
        <v>3287</v>
      </c>
      <c r="AE223" s="70"/>
      <c r="AF223" s="11">
        <f t="shared" si="24"/>
        <v>3287</v>
      </c>
      <c r="BH223" s="148"/>
    </row>
    <row r="224" spans="1:60" ht="43.5" customHeight="1" hidden="1">
      <c r="A224" s="1">
        <v>2237</v>
      </c>
      <c r="B224" s="117" t="s">
        <v>224</v>
      </c>
      <c r="C224" s="120">
        <v>889746</v>
      </c>
      <c r="D224" s="3"/>
      <c r="E224" s="68"/>
      <c r="F224" s="3"/>
      <c r="G224" s="68"/>
      <c r="H224" s="3">
        <f t="shared" si="31"/>
        <v>889746</v>
      </c>
      <c r="I224" s="28"/>
      <c r="J224" s="28"/>
      <c r="K224" s="15"/>
      <c r="L224" s="15"/>
      <c r="M224" s="46"/>
      <c r="N224" s="47"/>
      <c r="O224" s="15"/>
      <c r="P224" s="15"/>
      <c r="Q224" s="54"/>
      <c r="R224" s="54"/>
      <c r="S224" s="15"/>
      <c r="T224" s="15"/>
      <c r="U224" s="65"/>
      <c r="V224" s="65"/>
      <c r="W224" s="15"/>
      <c r="X224" s="15"/>
      <c r="Y224" s="77"/>
      <c r="Z224" s="77"/>
      <c r="AA224" s="15"/>
      <c r="AB224" s="15"/>
      <c r="AC224" s="69">
        <f t="shared" si="28"/>
        <v>0</v>
      </c>
      <c r="AD224" s="69">
        <f t="shared" si="28"/>
        <v>0</v>
      </c>
      <c r="AE224" s="70"/>
      <c r="AF224" s="11">
        <f t="shared" si="24"/>
        <v>889746</v>
      </c>
      <c r="BH224" s="148"/>
    </row>
    <row r="225" spans="1:60" ht="28.5" customHeight="1" hidden="1">
      <c r="A225" s="14">
        <v>2238</v>
      </c>
      <c r="B225" s="117" t="s">
        <v>4</v>
      </c>
      <c r="C225" s="120"/>
      <c r="D225" s="3"/>
      <c r="E225" s="68"/>
      <c r="F225" s="3"/>
      <c r="G225" s="68"/>
      <c r="H225" s="3">
        <f t="shared" si="31"/>
        <v>0</v>
      </c>
      <c r="I225" s="28"/>
      <c r="J225" s="28"/>
      <c r="K225" s="15"/>
      <c r="L225" s="15"/>
      <c r="M225" s="46"/>
      <c r="N225" s="47"/>
      <c r="O225" s="15"/>
      <c r="P225" s="15"/>
      <c r="Q225" s="54"/>
      <c r="R225" s="54"/>
      <c r="S225" s="15"/>
      <c r="T225" s="15"/>
      <c r="U225" s="65"/>
      <c r="V225" s="65"/>
      <c r="W225" s="15"/>
      <c r="X225" s="15"/>
      <c r="Y225" s="77"/>
      <c r="Z225" s="77"/>
      <c r="AA225" s="15"/>
      <c r="AB225" s="15"/>
      <c r="AC225" s="69">
        <f t="shared" si="28"/>
        <v>0</v>
      </c>
      <c r="AD225" s="69">
        <f t="shared" si="28"/>
        <v>0</v>
      </c>
      <c r="AE225" s="70"/>
      <c r="AF225" s="11">
        <f t="shared" si="24"/>
        <v>0</v>
      </c>
      <c r="BH225" s="148"/>
    </row>
    <row r="226" spans="1:60" ht="28.5" customHeight="1" hidden="1">
      <c r="A226" s="14">
        <v>2239</v>
      </c>
      <c r="B226" s="117" t="s">
        <v>5</v>
      </c>
      <c r="C226" s="120">
        <v>-13848</v>
      </c>
      <c r="D226" s="3"/>
      <c r="E226" s="68"/>
      <c r="F226" s="3"/>
      <c r="G226" s="68"/>
      <c r="H226" s="3">
        <f t="shared" si="31"/>
        <v>-13848</v>
      </c>
      <c r="I226" s="28"/>
      <c r="J226" s="28"/>
      <c r="K226" s="15"/>
      <c r="L226" s="15"/>
      <c r="M226" s="46"/>
      <c r="N226" s="47"/>
      <c r="O226" s="15"/>
      <c r="P226" s="15"/>
      <c r="Q226" s="54"/>
      <c r="R226" s="54"/>
      <c r="S226" s="15"/>
      <c r="T226" s="15"/>
      <c r="U226" s="65"/>
      <c r="V226" s="65"/>
      <c r="W226" s="15"/>
      <c r="X226" s="15"/>
      <c r="Y226" s="77"/>
      <c r="Z226" s="77"/>
      <c r="AA226" s="15"/>
      <c r="AB226" s="15"/>
      <c r="AC226" s="69">
        <f t="shared" si="28"/>
        <v>0</v>
      </c>
      <c r="AD226" s="69">
        <f t="shared" si="28"/>
        <v>0</v>
      </c>
      <c r="AE226" s="70"/>
      <c r="AF226" s="11">
        <f t="shared" si="24"/>
        <v>-13848</v>
      </c>
      <c r="BH226" s="148"/>
    </row>
    <row r="227" spans="1:60" ht="40.5" customHeight="1" hidden="1">
      <c r="A227" s="14">
        <v>2240</v>
      </c>
      <c r="B227" s="117" t="s">
        <v>6</v>
      </c>
      <c r="C227" s="120">
        <v>1395234</v>
      </c>
      <c r="D227" s="3"/>
      <c r="E227" s="68"/>
      <c r="F227" s="26"/>
      <c r="G227" s="68"/>
      <c r="H227" s="3">
        <f t="shared" si="31"/>
        <v>1395234</v>
      </c>
      <c r="I227" s="28"/>
      <c r="J227" s="28">
        <v>36267</v>
      </c>
      <c r="K227" s="15"/>
      <c r="L227" s="15"/>
      <c r="M227" s="46"/>
      <c r="N227" s="47"/>
      <c r="O227" s="15"/>
      <c r="P227" s="15"/>
      <c r="Q227" s="54"/>
      <c r="R227" s="54"/>
      <c r="S227" s="15"/>
      <c r="T227" s="15"/>
      <c r="U227" s="65"/>
      <c r="V227" s="65"/>
      <c r="W227" s="15"/>
      <c r="X227" s="15"/>
      <c r="Y227" s="77"/>
      <c r="Z227" s="77"/>
      <c r="AA227" s="15"/>
      <c r="AB227" s="15"/>
      <c r="AC227" s="69">
        <f t="shared" si="28"/>
        <v>0</v>
      </c>
      <c r="AD227" s="69">
        <f t="shared" si="28"/>
        <v>36267</v>
      </c>
      <c r="AE227" s="70"/>
      <c r="AF227" s="11">
        <f t="shared" si="24"/>
        <v>1431501</v>
      </c>
      <c r="BH227" s="148"/>
    </row>
    <row r="228" spans="1:60" ht="39.75" customHeight="1" hidden="1">
      <c r="A228" s="14">
        <v>2717</v>
      </c>
      <c r="B228" s="117" t="s">
        <v>29</v>
      </c>
      <c r="C228" s="120"/>
      <c r="D228" s="3"/>
      <c r="E228" s="68"/>
      <c r="F228" s="3"/>
      <c r="G228" s="68"/>
      <c r="H228" s="3">
        <f t="shared" si="31"/>
        <v>0</v>
      </c>
      <c r="I228" s="28"/>
      <c r="J228" s="28"/>
      <c r="K228" s="15"/>
      <c r="L228" s="15"/>
      <c r="M228" s="46"/>
      <c r="N228" s="47"/>
      <c r="O228" s="15"/>
      <c r="P228" s="15"/>
      <c r="Q228" s="54"/>
      <c r="R228" s="54"/>
      <c r="S228" s="15"/>
      <c r="T228" s="15"/>
      <c r="U228" s="65"/>
      <c r="V228" s="65"/>
      <c r="W228" s="15"/>
      <c r="X228" s="15"/>
      <c r="Y228" s="77"/>
      <c r="Z228" s="77"/>
      <c r="AA228" s="15"/>
      <c r="AB228" s="15"/>
      <c r="AC228" s="69">
        <f t="shared" si="28"/>
        <v>0</v>
      </c>
      <c r="AD228" s="69">
        <f t="shared" si="28"/>
        <v>0</v>
      </c>
      <c r="AE228" s="70"/>
      <c r="AF228" s="11">
        <f t="shared" si="24"/>
        <v>0</v>
      </c>
      <c r="BH228" s="148"/>
    </row>
    <row r="229" spans="1:60" ht="28.5" customHeight="1" hidden="1">
      <c r="A229" s="1">
        <v>2718</v>
      </c>
      <c r="B229" s="117" t="s">
        <v>225</v>
      </c>
      <c r="C229" s="120">
        <v>18</v>
      </c>
      <c r="D229" s="3"/>
      <c r="E229" s="68"/>
      <c r="F229" s="3"/>
      <c r="G229" s="68"/>
      <c r="H229" s="3">
        <f t="shared" si="31"/>
        <v>18</v>
      </c>
      <c r="I229" s="28"/>
      <c r="J229" s="28">
        <v>56</v>
      </c>
      <c r="K229" s="15"/>
      <c r="L229" s="15"/>
      <c r="M229" s="46"/>
      <c r="N229" s="47"/>
      <c r="O229" s="15"/>
      <c r="P229" s="15"/>
      <c r="Q229" s="54"/>
      <c r="R229" s="54"/>
      <c r="S229" s="15"/>
      <c r="T229" s="15"/>
      <c r="U229" s="65"/>
      <c r="V229" s="65"/>
      <c r="W229" s="15"/>
      <c r="X229" s="15"/>
      <c r="Y229" s="77"/>
      <c r="Z229" s="77"/>
      <c r="AA229" s="15"/>
      <c r="AB229" s="15"/>
      <c r="AC229" s="69">
        <f t="shared" si="28"/>
        <v>0</v>
      </c>
      <c r="AD229" s="69">
        <f t="shared" si="28"/>
        <v>56</v>
      </c>
      <c r="AE229" s="70"/>
      <c r="AF229" s="11">
        <f t="shared" si="24"/>
        <v>74</v>
      </c>
      <c r="BH229" s="148"/>
    </row>
    <row r="230" spans="1:60" ht="28.5" customHeight="1" hidden="1">
      <c r="A230" s="1">
        <v>2719</v>
      </c>
      <c r="B230" s="117" t="s">
        <v>228</v>
      </c>
      <c r="C230" s="120">
        <v>439</v>
      </c>
      <c r="D230" s="3"/>
      <c r="E230" s="68"/>
      <c r="F230" s="3"/>
      <c r="G230" s="68"/>
      <c r="H230" s="3">
        <f t="shared" si="31"/>
        <v>439</v>
      </c>
      <c r="I230" s="28"/>
      <c r="J230" s="28"/>
      <c r="K230" s="15"/>
      <c r="L230" s="15"/>
      <c r="M230" s="46"/>
      <c r="N230" s="47"/>
      <c r="O230" s="15"/>
      <c r="P230" s="15"/>
      <c r="Q230" s="54"/>
      <c r="R230" s="54"/>
      <c r="S230" s="15"/>
      <c r="T230" s="15"/>
      <c r="U230" s="65"/>
      <c r="V230" s="65"/>
      <c r="W230" s="15"/>
      <c r="X230" s="15"/>
      <c r="Y230" s="77"/>
      <c r="Z230" s="77"/>
      <c r="AA230" s="15"/>
      <c r="AB230" s="15"/>
      <c r="AC230" s="69">
        <f t="shared" si="28"/>
        <v>0</v>
      </c>
      <c r="AD230" s="69">
        <f t="shared" si="28"/>
        <v>0</v>
      </c>
      <c r="AE230" s="70"/>
      <c r="AF230" s="11">
        <f t="shared" si="24"/>
        <v>439</v>
      </c>
      <c r="BH230" s="148"/>
    </row>
    <row r="231" spans="1:60" ht="28.5" customHeight="1" hidden="1">
      <c r="A231" s="1">
        <v>2721</v>
      </c>
      <c r="B231" s="117" t="s">
        <v>230</v>
      </c>
      <c r="C231" s="120">
        <v>2170022</v>
      </c>
      <c r="D231" s="3"/>
      <c r="E231" s="68"/>
      <c r="F231" s="3"/>
      <c r="G231" s="68"/>
      <c r="H231" s="3">
        <f t="shared" si="31"/>
        <v>2170022</v>
      </c>
      <c r="I231" s="28"/>
      <c r="J231" s="28">
        <v>16594</v>
      </c>
      <c r="K231" s="15"/>
      <c r="L231" s="15"/>
      <c r="M231" s="46"/>
      <c r="N231" s="47"/>
      <c r="O231" s="15"/>
      <c r="P231" s="15"/>
      <c r="Q231" s="54"/>
      <c r="R231" s="54">
        <v>0</v>
      </c>
      <c r="S231" s="15"/>
      <c r="T231" s="15"/>
      <c r="U231" s="65"/>
      <c r="V231" s="65"/>
      <c r="W231" s="15"/>
      <c r="X231" s="15"/>
      <c r="Y231" s="77"/>
      <c r="Z231" s="77"/>
      <c r="AA231" s="15"/>
      <c r="AB231" s="15"/>
      <c r="AC231" s="69">
        <f t="shared" si="28"/>
        <v>0</v>
      </c>
      <c r="AD231" s="69">
        <f t="shared" si="28"/>
        <v>16594</v>
      </c>
      <c r="AE231" s="70"/>
      <c r="AF231" s="11">
        <f t="shared" si="24"/>
        <v>2186616</v>
      </c>
      <c r="BH231" s="148"/>
    </row>
    <row r="232" spans="1:60" ht="37.5" customHeight="1" hidden="1">
      <c r="A232" s="1">
        <v>2723</v>
      </c>
      <c r="B232" s="117" t="s">
        <v>231</v>
      </c>
      <c r="C232" s="120">
        <v>1085143</v>
      </c>
      <c r="D232" s="3"/>
      <c r="E232" s="68"/>
      <c r="F232" s="3"/>
      <c r="G232" s="68"/>
      <c r="H232" s="3">
        <f t="shared" si="31"/>
        <v>1085143</v>
      </c>
      <c r="I232" s="28"/>
      <c r="J232" s="28"/>
      <c r="K232" s="15"/>
      <c r="L232" s="15"/>
      <c r="M232" s="46"/>
      <c r="N232" s="47"/>
      <c r="O232" s="15"/>
      <c r="P232" s="15"/>
      <c r="Q232" s="54"/>
      <c r="R232" s="54"/>
      <c r="S232" s="15"/>
      <c r="T232" s="15"/>
      <c r="U232" s="65"/>
      <c r="V232" s="65"/>
      <c r="W232" s="15">
        <v>932335</v>
      </c>
      <c r="X232" s="15"/>
      <c r="Y232" s="77"/>
      <c r="Z232" s="77"/>
      <c r="AA232" s="15"/>
      <c r="AB232" s="15"/>
      <c r="AC232" s="69">
        <f t="shared" si="28"/>
        <v>932335</v>
      </c>
      <c r="AD232" s="69">
        <f t="shared" si="28"/>
        <v>0</v>
      </c>
      <c r="AE232" s="70"/>
      <c r="AF232" s="11">
        <f t="shared" si="24"/>
        <v>152808</v>
      </c>
      <c r="BH232" s="148"/>
    </row>
    <row r="233" spans="1:60" ht="28.5" customHeight="1" hidden="1">
      <c r="A233" s="1">
        <v>2855</v>
      </c>
      <c r="B233" s="117" t="s">
        <v>232</v>
      </c>
      <c r="C233" s="120">
        <v>10423990</v>
      </c>
      <c r="D233" s="3"/>
      <c r="E233" s="68"/>
      <c r="F233" s="3"/>
      <c r="G233" s="68"/>
      <c r="H233" s="3">
        <f t="shared" si="31"/>
        <v>10423990</v>
      </c>
      <c r="I233" s="28"/>
      <c r="J233" s="28"/>
      <c r="K233" s="15"/>
      <c r="L233" s="15"/>
      <c r="M233" s="46"/>
      <c r="N233" s="47"/>
      <c r="O233" s="15"/>
      <c r="P233" s="15"/>
      <c r="Q233" s="54"/>
      <c r="R233" s="54"/>
      <c r="S233" s="15"/>
      <c r="T233" s="15"/>
      <c r="U233" s="65"/>
      <c r="V233" s="65"/>
      <c r="W233" s="15"/>
      <c r="X233" s="15"/>
      <c r="Y233" s="77"/>
      <c r="Z233" s="77"/>
      <c r="AA233" s="15"/>
      <c r="AB233" s="15"/>
      <c r="AC233" s="69">
        <f t="shared" si="28"/>
        <v>0</v>
      </c>
      <c r="AD233" s="69">
        <f t="shared" si="28"/>
        <v>0</v>
      </c>
      <c r="AE233" s="70"/>
      <c r="AF233" s="11">
        <f t="shared" si="24"/>
        <v>10423990</v>
      </c>
      <c r="BH233" s="148"/>
    </row>
    <row r="234" spans="1:60" ht="28.5" customHeight="1" hidden="1">
      <c r="A234" s="12"/>
      <c r="B234" s="117" t="s">
        <v>40</v>
      </c>
      <c r="C234" s="120">
        <v>0</v>
      </c>
      <c r="D234" s="5"/>
      <c r="E234" s="67"/>
      <c r="F234" s="5"/>
      <c r="G234" s="67"/>
      <c r="H234" s="5">
        <f>C234+F234-D234</f>
        <v>0</v>
      </c>
      <c r="I234" s="36"/>
      <c r="J234" s="36"/>
      <c r="K234" s="17"/>
      <c r="L234" s="17"/>
      <c r="M234" s="20"/>
      <c r="N234" s="17">
        <v>6300990</v>
      </c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7"/>
      <c r="AA234" s="17"/>
      <c r="AB234" s="17"/>
      <c r="AC234" s="5">
        <f t="shared" si="28"/>
        <v>0</v>
      </c>
      <c r="AD234" s="5">
        <f t="shared" si="28"/>
        <v>6300990</v>
      </c>
      <c r="AE234" s="5"/>
      <c r="AF234" s="10">
        <f t="shared" si="24"/>
        <v>6300990</v>
      </c>
      <c r="BH234" s="148"/>
    </row>
    <row r="235" spans="1:60" ht="28.5" customHeight="1" hidden="1">
      <c r="A235" s="1"/>
      <c r="B235" s="117"/>
      <c r="C235" s="120"/>
      <c r="D235" s="3"/>
      <c r="E235" s="68"/>
      <c r="F235" s="3"/>
      <c r="G235" s="68"/>
      <c r="H235" s="3"/>
      <c r="I235" s="28"/>
      <c r="J235" s="28"/>
      <c r="K235" s="15"/>
      <c r="L235" s="15"/>
      <c r="M235" s="46"/>
      <c r="N235" s="47"/>
      <c r="O235" s="15"/>
      <c r="P235" s="15"/>
      <c r="Q235" s="54"/>
      <c r="R235" s="54"/>
      <c r="S235" s="15"/>
      <c r="T235" s="15"/>
      <c r="U235" s="15"/>
      <c r="V235" s="15"/>
      <c r="W235" s="15"/>
      <c r="X235" s="15"/>
      <c r="Y235" s="77"/>
      <c r="Z235" s="77"/>
      <c r="AA235" s="15"/>
      <c r="AB235" s="15"/>
      <c r="AC235" s="69">
        <f t="shared" si="28"/>
        <v>0</v>
      </c>
      <c r="AD235" s="69">
        <f t="shared" si="28"/>
        <v>0</v>
      </c>
      <c r="AE235" s="70"/>
      <c r="AF235" s="10"/>
      <c r="BH235" s="148"/>
    </row>
    <row r="236" spans="1:60" ht="19.5" customHeight="1">
      <c r="A236" s="12"/>
      <c r="B236" s="117" t="s">
        <v>233</v>
      </c>
      <c r="C236" s="120">
        <f>138616569</f>
        <v>138616569</v>
      </c>
      <c r="D236" s="5">
        <f>SUM(D237:D241)</f>
        <v>1217028</v>
      </c>
      <c r="E236" s="67"/>
      <c r="F236" s="5">
        <f>SUM(F237:F241)</f>
        <v>0</v>
      </c>
      <c r="G236" s="67"/>
      <c r="H236" s="5">
        <f aca="true" t="shared" si="32" ref="H236:H252">C236+F236-D236</f>
        <v>137399541</v>
      </c>
      <c r="I236" s="36">
        <f>SUM(I237:I241)</f>
        <v>0</v>
      </c>
      <c r="J236" s="36">
        <f>SUM(J237:J241)</f>
        <v>0</v>
      </c>
      <c r="K236" s="17">
        <f aca="true" t="shared" si="33" ref="K236:AB236">SUM(K237:K241)</f>
        <v>0</v>
      </c>
      <c r="L236" s="17">
        <f t="shared" si="33"/>
        <v>0</v>
      </c>
      <c r="M236" s="17">
        <f t="shared" si="33"/>
        <v>0</v>
      </c>
      <c r="N236" s="17">
        <f t="shared" si="33"/>
        <v>0</v>
      </c>
      <c r="O236" s="17">
        <f t="shared" si="33"/>
        <v>139951</v>
      </c>
      <c r="P236" s="17">
        <f t="shared" si="33"/>
        <v>0</v>
      </c>
      <c r="Q236" s="17">
        <f t="shared" si="33"/>
        <v>0</v>
      </c>
      <c r="R236" s="17">
        <f t="shared" si="33"/>
        <v>54794</v>
      </c>
      <c r="S236" s="17">
        <f t="shared" si="33"/>
        <v>0</v>
      </c>
      <c r="T236" s="17">
        <f t="shared" si="33"/>
        <v>0</v>
      </c>
      <c r="U236" s="17">
        <f t="shared" si="33"/>
        <v>0</v>
      </c>
      <c r="V236" s="17">
        <f t="shared" si="33"/>
        <v>0</v>
      </c>
      <c r="W236" s="17">
        <f t="shared" si="33"/>
        <v>0</v>
      </c>
      <c r="X236" s="17">
        <f t="shared" si="33"/>
        <v>0</v>
      </c>
      <c r="Y236" s="17">
        <f t="shared" si="33"/>
        <v>0</v>
      </c>
      <c r="Z236" s="7">
        <f t="shared" si="33"/>
        <v>0</v>
      </c>
      <c r="AA236" s="17">
        <f t="shared" si="33"/>
        <v>0</v>
      </c>
      <c r="AB236" s="17">
        <f t="shared" si="33"/>
        <v>0</v>
      </c>
      <c r="AC236" s="5">
        <f t="shared" si="28"/>
        <v>139951</v>
      </c>
      <c r="AD236" s="5">
        <f t="shared" si="28"/>
        <v>54794</v>
      </c>
      <c r="AE236" s="17">
        <f>SUM(AE237:AE241)</f>
        <v>0</v>
      </c>
      <c r="AF236" s="10">
        <f t="shared" si="24"/>
        <v>137314384</v>
      </c>
      <c r="BH236" s="148">
        <v>99068086</v>
      </c>
    </row>
    <row r="237" spans="1:60" ht="39.75" customHeight="1" hidden="1">
      <c r="A237" s="1">
        <v>2301</v>
      </c>
      <c r="B237" s="117" t="s">
        <v>234</v>
      </c>
      <c r="C237" s="120">
        <v>137850000</v>
      </c>
      <c r="D237" s="3"/>
      <c r="E237" s="68"/>
      <c r="F237" s="3"/>
      <c r="G237" s="68"/>
      <c r="H237" s="3">
        <f t="shared" si="32"/>
        <v>137850000</v>
      </c>
      <c r="I237" s="28"/>
      <c r="J237" s="28"/>
      <c r="K237" s="15"/>
      <c r="L237" s="15"/>
      <c r="M237" s="46"/>
      <c r="N237" s="47"/>
      <c r="O237" s="19">
        <f>54078-575</f>
        <v>53503</v>
      </c>
      <c r="P237" s="15"/>
      <c r="Q237" s="54"/>
      <c r="R237" s="54"/>
      <c r="S237" s="15"/>
      <c r="T237" s="15"/>
      <c r="U237" s="65"/>
      <c r="V237" s="65"/>
      <c r="W237" s="15"/>
      <c r="X237" s="15"/>
      <c r="Y237" s="77"/>
      <c r="Z237" s="77"/>
      <c r="AA237" s="15"/>
      <c r="AB237" s="15"/>
      <c r="AC237" s="69">
        <f t="shared" si="28"/>
        <v>53503</v>
      </c>
      <c r="AD237" s="69">
        <f t="shared" si="28"/>
        <v>0</v>
      </c>
      <c r="AE237" s="70"/>
      <c r="AF237" s="11">
        <f t="shared" si="24"/>
        <v>137796497</v>
      </c>
      <c r="BH237" s="148"/>
    </row>
    <row r="238" spans="1:60" ht="28.5" customHeight="1" hidden="1">
      <c r="A238" s="1">
        <v>2303</v>
      </c>
      <c r="B238" s="117" t="s">
        <v>44</v>
      </c>
      <c r="C238" s="120"/>
      <c r="D238" s="3"/>
      <c r="E238" s="68"/>
      <c r="F238" s="3"/>
      <c r="G238" s="68"/>
      <c r="H238" s="3">
        <f t="shared" si="32"/>
        <v>0</v>
      </c>
      <c r="I238" s="28"/>
      <c r="J238" s="28"/>
      <c r="K238" s="15"/>
      <c r="L238" s="15"/>
      <c r="M238" s="46"/>
      <c r="N238" s="47"/>
      <c r="O238" s="19">
        <f>85453+420</f>
        <v>85873</v>
      </c>
      <c r="P238" s="15"/>
      <c r="Q238" s="54"/>
      <c r="R238" s="54">
        <v>54794</v>
      </c>
      <c r="S238" s="15"/>
      <c r="T238" s="15"/>
      <c r="U238" s="65"/>
      <c r="V238" s="65"/>
      <c r="W238" s="15"/>
      <c r="X238" s="15"/>
      <c r="Y238" s="77"/>
      <c r="Z238" s="77"/>
      <c r="AA238" s="15"/>
      <c r="AB238" s="15"/>
      <c r="AC238" s="69">
        <f t="shared" si="28"/>
        <v>85873</v>
      </c>
      <c r="AD238" s="69">
        <f t="shared" si="28"/>
        <v>54794</v>
      </c>
      <c r="AE238" s="70"/>
      <c r="AF238" s="11">
        <f t="shared" si="24"/>
        <v>-31079</v>
      </c>
      <c r="BH238" s="148"/>
    </row>
    <row r="239" spans="1:60" ht="28.5" customHeight="1" hidden="1">
      <c r="A239" s="1">
        <v>2305</v>
      </c>
      <c r="B239" s="117" t="s">
        <v>235</v>
      </c>
      <c r="C239" s="120">
        <v>-1161574</v>
      </c>
      <c r="D239" s="3"/>
      <c r="E239" s="68"/>
      <c r="F239" s="3"/>
      <c r="G239" s="68"/>
      <c r="H239" s="3">
        <f t="shared" si="32"/>
        <v>-1161574</v>
      </c>
      <c r="I239" s="28"/>
      <c r="J239" s="28"/>
      <c r="K239" s="15"/>
      <c r="L239" s="15"/>
      <c r="M239" s="46"/>
      <c r="N239" s="47"/>
      <c r="O239" s="15"/>
      <c r="P239" s="15"/>
      <c r="Q239" s="54"/>
      <c r="R239" s="54"/>
      <c r="S239" s="15"/>
      <c r="T239" s="15"/>
      <c r="U239" s="65"/>
      <c r="V239" s="65"/>
      <c r="W239" s="15"/>
      <c r="X239" s="15"/>
      <c r="Y239" s="77"/>
      <c r="Z239" s="77"/>
      <c r="AA239" s="15"/>
      <c r="AB239" s="15"/>
      <c r="AC239" s="69">
        <f t="shared" si="28"/>
        <v>0</v>
      </c>
      <c r="AD239" s="69">
        <f t="shared" si="28"/>
        <v>0</v>
      </c>
      <c r="AE239" s="70"/>
      <c r="AF239" s="11">
        <f aca="true" t="shared" si="34" ref="AF239:AF301">H239+AD239-AC239</f>
        <v>-1161574</v>
      </c>
      <c r="BH239" s="148"/>
    </row>
    <row r="240" spans="1:60" ht="28.5" customHeight="1" hidden="1">
      <c r="A240" s="14">
        <v>2306</v>
      </c>
      <c r="B240" s="117" t="s">
        <v>23</v>
      </c>
      <c r="C240" s="120"/>
      <c r="D240" s="3"/>
      <c r="E240" s="68"/>
      <c r="F240" s="3"/>
      <c r="G240" s="68"/>
      <c r="H240" s="3">
        <f t="shared" si="32"/>
        <v>0</v>
      </c>
      <c r="I240" s="28"/>
      <c r="J240" s="28"/>
      <c r="K240" s="15"/>
      <c r="L240" s="15"/>
      <c r="M240" s="46"/>
      <c r="N240" s="47"/>
      <c r="O240" s="15"/>
      <c r="P240" s="15"/>
      <c r="Q240" s="54"/>
      <c r="R240" s="54"/>
      <c r="S240" s="15"/>
      <c r="T240" s="15"/>
      <c r="U240" s="65"/>
      <c r="V240" s="65"/>
      <c r="W240" s="15"/>
      <c r="X240" s="15"/>
      <c r="Y240" s="77"/>
      <c r="Z240" s="77"/>
      <c r="AA240" s="15"/>
      <c r="AB240" s="15"/>
      <c r="AC240" s="69">
        <f t="shared" si="28"/>
        <v>0</v>
      </c>
      <c r="AD240" s="69">
        <f t="shared" si="28"/>
        <v>0</v>
      </c>
      <c r="AE240" s="70"/>
      <c r="AF240" s="11">
        <f t="shared" si="34"/>
        <v>0</v>
      </c>
      <c r="BH240" s="148"/>
    </row>
    <row r="241" spans="1:60" ht="37.5" customHeight="1" hidden="1">
      <c r="A241" s="1">
        <v>2730</v>
      </c>
      <c r="B241" s="117" t="s">
        <v>236</v>
      </c>
      <c r="C241" s="120">
        <v>1928143</v>
      </c>
      <c r="D241" s="3">
        <v>1217028</v>
      </c>
      <c r="E241" s="68" t="s">
        <v>211</v>
      </c>
      <c r="F241" s="3"/>
      <c r="G241" s="68"/>
      <c r="H241" s="3">
        <f t="shared" si="32"/>
        <v>711115</v>
      </c>
      <c r="I241" s="28"/>
      <c r="J241" s="28"/>
      <c r="K241" s="15"/>
      <c r="L241" s="15"/>
      <c r="M241" s="46"/>
      <c r="N241" s="47"/>
      <c r="O241" s="15">
        <v>575</v>
      </c>
      <c r="P241" s="15"/>
      <c r="Q241" s="54"/>
      <c r="R241" s="54"/>
      <c r="S241" s="15"/>
      <c r="T241" s="15"/>
      <c r="U241" s="65"/>
      <c r="V241" s="65"/>
      <c r="W241" s="15"/>
      <c r="X241" s="15"/>
      <c r="Y241" s="77"/>
      <c r="Z241" s="77"/>
      <c r="AA241" s="15"/>
      <c r="AB241" s="15"/>
      <c r="AC241" s="69">
        <f t="shared" si="28"/>
        <v>575</v>
      </c>
      <c r="AD241" s="69">
        <f t="shared" si="28"/>
        <v>0</v>
      </c>
      <c r="AE241" s="70"/>
      <c r="AF241" s="11">
        <f t="shared" si="34"/>
        <v>710540</v>
      </c>
      <c r="BH241" s="148"/>
    </row>
    <row r="242" spans="1:60" ht="21.75" customHeight="1">
      <c r="A242" s="12"/>
      <c r="B242" s="117" t="s">
        <v>237</v>
      </c>
      <c r="C242" s="120">
        <f>30853151</f>
        <v>30853151</v>
      </c>
      <c r="D242" s="5">
        <f>SUM(D243:D252)</f>
        <v>315338</v>
      </c>
      <c r="E242" s="67"/>
      <c r="F242" s="5">
        <f>SUM(F243:F250)</f>
        <v>0</v>
      </c>
      <c r="G242" s="67"/>
      <c r="H242" s="5">
        <f>C242+F242-D242</f>
        <v>30537813</v>
      </c>
      <c r="I242" s="36">
        <f aca="true" t="shared" si="35" ref="I242:AB242">SUM(I243:I250)</f>
        <v>0</v>
      </c>
      <c r="J242" s="36">
        <f t="shared" si="35"/>
        <v>1890</v>
      </c>
      <c r="K242" s="17">
        <f t="shared" si="35"/>
        <v>0</v>
      </c>
      <c r="L242" s="17">
        <f t="shared" si="35"/>
        <v>0</v>
      </c>
      <c r="M242" s="17">
        <f t="shared" si="35"/>
        <v>0</v>
      </c>
      <c r="N242" s="17">
        <f t="shared" si="35"/>
        <v>0</v>
      </c>
      <c r="O242" s="17">
        <f t="shared" si="35"/>
        <v>0</v>
      </c>
      <c r="P242" s="17">
        <f t="shared" si="35"/>
        <v>0</v>
      </c>
      <c r="Q242" s="17">
        <f t="shared" si="35"/>
        <v>0</v>
      </c>
      <c r="R242" s="17">
        <f t="shared" si="35"/>
        <v>0</v>
      </c>
      <c r="S242" s="17">
        <f t="shared" si="35"/>
        <v>0</v>
      </c>
      <c r="T242" s="17">
        <f t="shared" si="35"/>
        <v>0</v>
      </c>
      <c r="U242" s="17">
        <f t="shared" si="35"/>
        <v>0</v>
      </c>
      <c r="V242" s="17">
        <f t="shared" si="35"/>
        <v>0</v>
      </c>
      <c r="W242" s="17">
        <f t="shared" si="35"/>
        <v>189526</v>
      </c>
      <c r="X242" s="17">
        <f t="shared" si="35"/>
        <v>0</v>
      </c>
      <c r="Y242" s="17">
        <f t="shared" si="35"/>
        <v>0</v>
      </c>
      <c r="Z242" s="7">
        <f t="shared" si="35"/>
        <v>0</v>
      </c>
      <c r="AA242" s="17">
        <f t="shared" si="35"/>
        <v>0</v>
      </c>
      <c r="AB242" s="17">
        <f t="shared" si="35"/>
        <v>0</v>
      </c>
      <c r="AC242" s="5">
        <f t="shared" si="28"/>
        <v>189526</v>
      </c>
      <c r="AD242" s="5">
        <f t="shared" si="28"/>
        <v>1890</v>
      </c>
      <c r="AE242" s="17">
        <f>SUM(AE243:AE250)</f>
        <v>0</v>
      </c>
      <c r="AF242" s="10">
        <f t="shared" si="34"/>
        <v>30350177</v>
      </c>
      <c r="BH242" s="148">
        <v>17950553</v>
      </c>
    </row>
    <row r="243" spans="1:60" ht="28.5" customHeight="1" hidden="1">
      <c r="A243" s="1">
        <v>2401</v>
      </c>
      <c r="B243" s="117" t="s">
        <v>238</v>
      </c>
      <c r="C243" s="120"/>
      <c r="D243" s="3"/>
      <c r="E243" s="68"/>
      <c r="F243" s="3"/>
      <c r="G243" s="68"/>
      <c r="H243" s="3">
        <f t="shared" si="32"/>
        <v>0</v>
      </c>
      <c r="I243" s="28"/>
      <c r="J243" s="28"/>
      <c r="K243" s="15"/>
      <c r="L243" s="15"/>
      <c r="M243" s="46"/>
      <c r="N243" s="47"/>
      <c r="O243" s="15"/>
      <c r="P243" s="15"/>
      <c r="Q243" s="54"/>
      <c r="R243" s="54"/>
      <c r="S243" s="15"/>
      <c r="T243" s="15"/>
      <c r="U243" s="65"/>
      <c r="V243" s="65"/>
      <c r="W243" s="15"/>
      <c r="X243" s="15"/>
      <c r="Y243" s="77"/>
      <c r="Z243" s="77"/>
      <c r="AA243" s="15"/>
      <c r="AB243" s="15"/>
      <c r="AC243" s="69">
        <f t="shared" si="28"/>
        <v>0</v>
      </c>
      <c r="AD243" s="69">
        <f t="shared" si="28"/>
        <v>0</v>
      </c>
      <c r="AE243" s="70"/>
      <c r="AF243" s="11">
        <f t="shared" si="34"/>
        <v>0</v>
      </c>
      <c r="BH243" s="148"/>
    </row>
    <row r="244" spans="1:60" ht="28.5" customHeight="1" hidden="1">
      <c r="A244" s="1">
        <v>2402</v>
      </c>
      <c r="B244" s="117" t="s">
        <v>553</v>
      </c>
      <c r="C244" s="120"/>
      <c r="D244" s="3"/>
      <c r="E244" s="68"/>
      <c r="F244" s="3"/>
      <c r="G244" s="68"/>
      <c r="H244" s="3">
        <f t="shared" si="32"/>
        <v>0</v>
      </c>
      <c r="I244" s="28"/>
      <c r="J244" s="28">
        <v>3266</v>
      </c>
      <c r="K244" s="15"/>
      <c r="L244" s="15"/>
      <c r="M244" s="46"/>
      <c r="N244" s="47"/>
      <c r="O244" s="15"/>
      <c r="P244" s="15"/>
      <c r="Q244" s="54"/>
      <c r="R244" s="54"/>
      <c r="S244" s="15"/>
      <c r="T244" s="15"/>
      <c r="U244" s="65"/>
      <c r="V244" s="65"/>
      <c r="W244" s="15"/>
      <c r="X244" s="15"/>
      <c r="Y244" s="77"/>
      <c r="Z244" s="77"/>
      <c r="AA244" s="15"/>
      <c r="AB244" s="15"/>
      <c r="AC244" s="69">
        <f t="shared" si="28"/>
        <v>0</v>
      </c>
      <c r="AD244" s="69">
        <f t="shared" si="28"/>
        <v>3266</v>
      </c>
      <c r="AE244" s="70"/>
      <c r="AF244" s="11">
        <f t="shared" si="34"/>
        <v>3266</v>
      </c>
      <c r="BH244" s="148"/>
    </row>
    <row r="245" spans="1:60" ht="28.5" customHeight="1" hidden="1">
      <c r="A245" s="14">
        <v>2403</v>
      </c>
      <c r="B245" s="117" t="s">
        <v>24</v>
      </c>
      <c r="C245" s="120">
        <v>130230</v>
      </c>
      <c r="D245" s="3"/>
      <c r="E245" s="68"/>
      <c r="F245" s="3"/>
      <c r="G245" s="68"/>
      <c r="H245" s="3">
        <f t="shared" si="32"/>
        <v>130230</v>
      </c>
      <c r="I245" s="28"/>
      <c r="J245" s="28"/>
      <c r="K245" s="15"/>
      <c r="L245" s="15"/>
      <c r="M245" s="46"/>
      <c r="N245" s="47"/>
      <c r="O245" s="15"/>
      <c r="P245" s="15"/>
      <c r="Q245" s="54"/>
      <c r="R245" s="54"/>
      <c r="S245" s="15"/>
      <c r="T245" s="15"/>
      <c r="U245" s="65"/>
      <c r="V245" s="65"/>
      <c r="W245" s="15"/>
      <c r="X245" s="15"/>
      <c r="Y245" s="77"/>
      <c r="Z245" s="77"/>
      <c r="AA245" s="15"/>
      <c r="AB245" s="15"/>
      <c r="AC245" s="69">
        <f t="shared" si="28"/>
        <v>0</v>
      </c>
      <c r="AD245" s="69">
        <f t="shared" si="28"/>
        <v>0</v>
      </c>
      <c r="AE245" s="70"/>
      <c r="AF245" s="11">
        <f t="shared" si="34"/>
        <v>130230</v>
      </c>
      <c r="BH245" s="148"/>
    </row>
    <row r="246" spans="1:60" ht="28.5" customHeight="1" hidden="1">
      <c r="A246" s="14">
        <v>2404</v>
      </c>
      <c r="B246" s="117" t="s">
        <v>25</v>
      </c>
      <c r="C246" s="120">
        <v>-117078</v>
      </c>
      <c r="D246" s="3"/>
      <c r="E246" s="68"/>
      <c r="F246" s="3"/>
      <c r="G246" s="68"/>
      <c r="H246" s="3">
        <f t="shared" si="32"/>
        <v>-117078</v>
      </c>
      <c r="I246" s="28"/>
      <c r="J246" s="28">
        <v>-1376</v>
      </c>
      <c r="K246" s="15"/>
      <c r="L246" s="15"/>
      <c r="M246" s="46"/>
      <c r="N246" s="47"/>
      <c r="O246" s="15"/>
      <c r="P246" s="15"/>
      <c r="Q246" s="54"/>
      <c r="R246" s="54"/>
      <c r="S246" s="15"/>
      <c r="T246" s="15"/>
      <c r="U246" s="65"/>
      <c r="V246" s="65"/>
      <c r="W246" s="15"/>
      <c r="X246" s="15"/>
      <c r="Y246" s="77"/>
      <c r="Z246" s="77"/>
      <c r="AA246" s="15"/>
      <c r="AB246" s="15"/>
      <c r="AC246" s="69">
        <f t="shared" si="28"/>
        <v>0</v>
      </c>
      <c r="AD246" s="69">
        <f t="shared" si="28"/>
        <v>-1376</v>
      </c>
      <c r="AE246" s="70"/>
      <c r="AF246" s="11">
        <f t="shared" si="34"/>
        <v>-118454</v>
      </c>
      <c r="BH246" s="148"/>
    </row>
    <row r="247" spans="1:60" ht="40.5" customHeight="1" hidden="1">
      <c r="A247" s="14">
        <v>2405</v>
      </c>
      <c r="B247" s="117" t="s">
        <v>26</v>
      </c>
      <c r="C247" s="120">
        <v>-1013567</v>
      </c>
      <c r="D247" s="3"/>
      <c r="E247" s="68"/>
      <c r="F247" s="3"/>
      <c r="G247" s="68"/>
      <c r="H247" s="3">
        <f>C247+D247-F247</f>
        <v>-1013567</v>
      </c>
      <c r="I247" s="28"/>
      <c r="J247" s="28"/>
      <c r="K247" s="15"/>
      <c r="L247" s="15"/>
      <c r="M247" s="46"/>
      <c r="N247" s="47"/>
      <c r="O247" s="15"/>
      <c r="P247" s="15"/>
      <c r="Q247" s="54"/>
      <c r="R247" s="54"/>
      <c r="S247" s="15"/>
      <c r="T247" s="15"/>
      <c r="U247" s="65"/>
      <c r="V247" s="65"/>
      <c r="W247" s="15"/>
      <c r="X247" s="15"/>
      <c r="Y247" s="77"/>
      <c r="Z247" s="77"/>
      <c r="AA247" s="15"/>
      <c r="AB247" s="15"/>
      <c r="AC247" s="69">
        <f t="shared" si="28"/>
        <v>0</v>
      </c>
      <c r="AD247" s="69">
        <f t="shared" si="28"/>
        <v>0</v>
      </c>
      <c r="AE247" s="70"/>
      <c r="AF247" s="11">
        <f t="shared" si="34"/>
        <v>-1013567</v>
      </c>
      <c r="BH247" s="148"/>
    </row>
    <row r="248" spans="1:60" ht="28.5" customHeight="1" hidden="1">
      <c r="A248" s="14">
        <v>2406</v>
      </c>
      <c r="B248" s="117" t="s">
        <v>27</v>
      </c>
      <c r="C248" s="120">
        <v>18769999</v>
      </c>
      <c r="D248" s="3"/>
      <c r="E248" s="68"/>
      <c r="F248" s="3"/>
      <c r="G248" s="68"/>
      <c r="H248" s="3">
        <f t="shared" si="32"/>
        <v>18769999</v>
      </c>
      <c r="I248" s="28"/>
      <c r="J248" s="28"/>
      <c r="K248" s="15"/>
      <c r="L248" s="15"/>
      <c r="M248" s="46"/>
      <c r="N248" s="47"/>
      <c r="O248" s="15"/>
      <c r="P248" s="15"/>
      <c r="Q248" s="54"/>
      <c r="R248" s="54"/>
      <c r="S248" s="15"/>
      <c r="T248" s="15"/>
      <c r="U248" s="65"/>
      <c r="V248" s="65"/>
      <c r="W248" s="15"/>
      <c r="X248" s="15"/>
      <c r="Y248" s="77"/>
      <c r="Z248" s="77"/>
      <c r="AA248" s="15"/>
      <c r="AB248" s="15"/>
      <c r="AC248" s="69">
        <f t="shared" si="28"/>
        <v>0</v>
      </c>
      <c r="AD248" s="69">
        <f t="shared" si="28"/>
        <v>0</v>
      </c>
      <c r="AE248" s="70"/>
      <c r="AF248" s="11">
        <f t="shared" si="34"/>
        <v>18769999</v>
      </c>
      <c r="BH248" s="148"/>
    </row>
    <row r="249" spans="1:60" ht="28.5" customHeight="1" hidden="1">
      <c r="A249" s="14">
        <v>2451</v>
      </c>
      <c r="B249" s="117" t="s">
        <v>376</v>
      </c>
      <c r="C249" s="120">
        <v>12700000</v>
      </c>
      <c r="D249" s="3">
        <v>212470</v>
      </c>
      <c r="E249" s="68" t="s">
        <v>212</v>
      </c>
      <c r="F249" s="3"/>
      <c r="G249" s="68"/>
      <c r="H249" s="3">
        <f t="shared" si="32"/>
        <v>12487530</v>
      </c>
      <c r="I249" s="28"/>
      <c r="J249" s="28"/>
      <c r="K249" s="15"/>
      <c r="L249" s="15"/>
      <c r="M249" s="46"/>
      <c r="N249" s="47"/>
      <c r="O249" s="15"/>
      <c r="P249" s="15"/>
      <c r="Q249" s="54"/>
      <c r="R249" s="54"/>
      <c r="S249" s="15"/>
      <c r="T249" s="15"/>
      <c r="U249" s="65"/>
      <c r="V249" s="65"/>
      <c r="W249" s="15">
        <v>189526</v>
      </c>
      <c r="X249" s="15"/>
      <c r="Y249" s="77"/>
      <c r="Z249" s="77"/>
      <c r="AA249" s="15"/>
      <c r="AB249" s="15"/>
      <c r="AC249" s="69">
        <f t="shared" si="28"/>
        <v>189526</v>
      </c>
      <c r="AD249" s="69">
        <f t="shared" si="28"/>
        <v>0</v>
      </c>
      <c r="AE249" s="70"/>
      <c r="AF249" s="11">
        <f t="shared" si="34"/>
        <v>12298004</v>
      </c>
      <c r="BH249" s="148"/>
    </row>
    <row r="250" spans="1:60" ht="28.5" customHeight="1" hidden="1">
      <c r="A250" s="1">
        <v>2740</v>
      </c>
      <c r="B250" s="117" t="s">
        <v>239</v>
      </c>
      <c r="C250" s="120"/>
      <c r="D250" s="3"/>
      <c r="E250" s="68"/>
      <c r="F250" s="3"/>
      <c r="G250" s="68"/>
      <c r="H250" s="3">
        <f t="shared" si="32"/>
        <v>0</v>
      </c>
      <c r="I250" s="28"/>
      <c r="J250" s="28"/>
      <c r="K250" s="15"/>
      <c r="L250" s="15"/>
      <c r="M250" s="46"/>
      <c r="N250" s="47"/>
      <c r="O250" s="15"/>
      <c r="P250" s="15"/>
      <c r="Q250" s="54"/>
      <c r="R250" s="54"/>
      <c r="S250" s="15"/>
      <c r="T250" s="15"/>
      <c r="U250" s="65"/>
      <c r="V250" s="65"/>
      <c r="W250" s="15"/>
      <c r="X250" s="15"/>
      <c r="Y250" s="77"/>
      <c r="Z250" s="77"/>
      <c r="AA250" s="15"/>
      <c r="AB250" s="15"/>
      <c r="AC250" s="69">
        <f t="shared" si="28"/>
        <v>0</v>
      </c>
      <c r="AD250" s="69">
        <f t="shared" si="28"/>
        <v>0</v>
      </c>
      <c r="AE250" s="70"/>
      <c r="AF250" s="11">
        <f t="shared" si="34"/>
        <v>0</v>
      </c>
      <c r="BH250" s="148"/>
    </row>
    <row r="251" spans="1:60" ht="28.5" customHeight="1" hidden="1">
      <c r="A251" s="1">
        <v>2756</v>
      </c>
      <c r="B251" s="117" t="s">
        <v>340</v>
      </c>
      <c r="C251" s="120">
        <v>196036</v>
      </c>
      <c r="D251" s="3">
        <v>102868</v>
      </c>
      <c r="E251" s="68" t="s">
        <v>13</v>
      </c>
      <c r="F251" s="3"/>
      <c r="G251" s="68"/>
      <c r="H251" s="3">
        <f t="shared" si="32"/>
        <v>93168</v>
      </c>
      <c r="I251" s="28"/>
      <c r="J251" s="28"/>
      <c r="K251" s="15"/>
      <c r="L251" s="15"/>
      <c r="M251" s="46"/>
      <c r="N251" s="47"/>
      <c r="O251" s="15"/>
      <c r="P251" s="15"/>
      <c r="Q251" s="54"/>
      <c r="R251" s="54"/>
      <c r="S251" s="15"/>
      <c r="T251" s="15"/>
      <c r="U251" s="65"/>
      <c r="V251" s="65"/>
      <c r="W251" s="15"/>
      <c r="X251" s="15"/>
      <c r="Y251" s="77"/>
      <c r="Z251" s="77"/>
      <c r="AA251" s="15"/>
      <c r="AB251" s="15"/>
      <c r="AC251" s="69">
        <f t="shared" si="28"/>
        <v>0</v>
      </c>
      <c r="AD251" s="69">
        <f t="shared" si="28"/>
        <v>0</v>
      </c>
      <c r="AE251" s="70"/>
      <c r="AF251" s="11">
        <f t="shared" si="34"/>
        <v>93168</v>
      </c>
      <c r="BH251" s="148"/>
    </row>
    <row r="252" spans="1:60" ht="28.5" customHeight="1" hidden="1">
      <c r="A252" s="1">
        <v>2757</v>
      </c>
      <c r="B252" s="117" t="s">
        <v>377</v>
      </c>
      <c r="C252" s="120">
        <v>197548</v>
      </c>
      <c r="D252" s="3"/>
      <c r="E252" s="68"/>
      <c r="F252" s="3"/>
      <c r="G252" s="68"/>
      <c r="H252" s="3">
        <f t="shared" si="32"/>
        <v>197548</v>
      </c>
      <c r="I252" s="28"/>
      <c r="J252" s="28"/>
      <c r="K252" s="15"/>
      <c r="L252" s="15"/>
      <c r="M252" s="46"/>
      <c r="N252" s="47"/>
      <c r="O252" s="15"/>
      <c r="P252" s="15"/>
      <c r="Q252" s="54"/>
      <c r="R252" s="54"/>
      <c r="S252" s="15"/>
      <c r="T252" s="15"/>
      <c r="U252" s="65"/>
      <c r="V252" s="65"/>
      <c r="W252" s="15"/>
      <c r="X252" s="15"/>
      <c r="Y252" s="77"/>
      <c r="Z252" s="77"/>
      <c r="AA252" s="15"/>
      <c r="AB252" s="15"/>
      <c r="AC252" s="69">
        <f t="shared" si="28"/>
        <v>0</v>
      </c>
      <c r="AD252" s="69">
        <f t="shared" si="28"/>
        <v>0</v>
      </c>
      <c r="AE252" s="70"/>
      <c r="AF252" s="11">
        <f t="shared" si="34"/>
        <v>197548</v>
      </c>
      <c r="BH252" s="148"/>
    </row>
    <row r="253" spans="1:60" ht="21.75" customHeight="1">
      <c r="A253" s="12"/>
      <c r="B253" s="117" t="s">
        <v>442</v>
      </c>
      <c r="C253" s="120">
        <f>2733558</f>
        <v>2733558</v>
      </c>
      <c r="D253" s="5">
        <f>SUM(D254:D279)</f>
        <v>1731728</v>
      </c>
      <c r="E253" s="67"/>
      <c r="F253" s="5">
        <f>SUM(F254:F279)</f>
        <v>0</v>
      </c>
      <c r="G253" s="67"/>
      <c r="H253" s="5">
        <f>SUM(H254:H279)</f>
        <v>2018785</v>
      </c>
      <c r="I253" s="36">
        <f aca="true" t="shared" si="36" ref="I253:AB253">SUM(I254:I279)</f>
        <v>0</v>
      </c>
      <c r="J253" s="36">
        <f t="shared" si="36"/>
        <v>62135</v>
      </c>
      <c r="K253" s="17">
        <f t="shared" si="36"/>
        <v>0</v>
      </c>
      <c r="L253" s="17">
        <f t="shared" si="36"/>
        <v>0</v>
      </c>
      <c r="M253" s="17">
        <f t="shared" si="36"/>
        <v>0</v>
      </c>
      <c r="N253" s="17">
        <f t="shared" si="36"/>
        <v>94157</v>
      </c>
      <c r="O253" s="17">
        <f t="shared" si="36"/>
        <v>0</v>
      </c>
      <c r="P253" s="17">
        <f t="shared" si="36"/>
        <v>0</v>
      </c>
      <c r="Q253" s="17">
        <f t="shared" si="36"/>
        <v>0</v>
      </c>
      <c r="R253" s="17">
        <f t="shared" si="36"/>
        <v>44806</v>
      </c>
      <c r="S253" s="17">
        <f t="shared" si="36"/>
        <v>0</v>
      </c>
      <c r="T253" s="17">
        <f t="shared" si="36"/>
        <v>0</v>
      </c>
      <c r="U253" s="17">
        <f t="shared" si="36"/>
        <v>0</v>
      </c>
      <c r="V253" s="17">
        <f t="shared" si="36"/>
        <v>10788</v>
      </c>
      <c r="W253" s="17">
        <f t="shared" si="36"/>
        <v>0</v>
      </c>
      <c r="X253" s="17">
        <f t="shared" si="36"/>
        <v>0</v>
      </c>
      <c r="Y253" s="17">
        <f t="shared" si="36"/>
        <v>0</v>
      </c>
      <c r="Z253" s="7">
        <f t="shared" si="36"/>
        <v>46347</v>
      </c>
      <c r="AA253" s="17">
        <f t="shared" si="36"/>
        <v>0</v>
      </c>
      <c r="AB253" s="17">
        <f t="shared" si="36"/>
        <v>0</v>
      </c>
      <c r="AC253" s="5">
        <f t="shared" si="28"/>
        <v>0</v>
      </c>
      <c r="AD253" s="5">
        <f t="shared" si="28"/>
        <v>258233</v>
      </c>
      <c r="AE253" s="17">
        <f>SUM(AE254:AE279)</f>
        <v>0</v>
      </c>
      <c r="AF253" s="10">
        <f t="shared" si="34"/>
        <v>2277018</v>
      </c>
      <c r="BH253" s="148">
        <v>1677306</v>
      </c>
    </row>
    <row r="254" spans="1:60" ht="28.5" customHeight="1" hidden="1">
      <c r="A254" s="1">
        <v>2716</v>
      </c>
      <c r="B254" s="117" t="s">
        <v>240</v>
      </c>
      <c r="C254" s="120"/>
      <c r="D254" s="3"/>
      <c r="E254" s="68"/>
      <c r="F254" s="3"/>
      <c r="G254" s="68"/>
      <c r="H254" s="3">
        <f aca="true" t="shared" si="37" ref="H254:H279">C254+F254-D254</f>
        <v>0</v>
      </c>
      <c r="I254" s="28"/>
      <c r="J254" s="28"/>
      <c r="K254" s="15"/>
      <c r="L254" s="15"/>
      <c r="M254" s="46"/>
      <c r="N254" s="47"/>
      <c r="O254" s="15"/>
      <c r="P254" s="15"/>
      <c r="Q254" s="54"/>
      <c r="R254" s="54"/>
      <c r="S254" s="15"/>
      <c r="T254" s="15"/>
      <c r="U254" s="65"/>
      <c r="V254" s="65"/>
      <c r="W254" s="15"/>
      <c r="X254" s="15"/>
      <c r="Y254" s="77"/>
      <c r="Z254" s="77"/>
      <c r="AA254" s="15"/>
      <c r="AB254" s="15"/>
      <c r="AC254" s="69">
        <f t="shared" si="28"/>
        <v>0</v>
      </c>
      <c r="AD254" s="69">
        <f t="shared" si="28"/>
        <v>0</v>
      </c>
      <c r="AE254" s="70"/>
      <c r="AF254" s="11">
        <f t="shared" si="34"/>
        <v>0</v>
      </c>
      <c r="BH254" s="148"/>
    </row>
    <row r="255" spans="1:60" ht="28.5" customHeight="1" hidden="1">
      <c r="A255" s="14">
        <v>2731</v>
      </c>
      <c r="B255" s="117" t="s">
        <v>30</v>
      </c>
      <c r="C255" s="120"/>
      <c r="D255" s="3"/>
      <c r="E255" s="68"/>
      <c r="F255" s="3"/>
      <c r="G255" s="68"/>
      <c r="H255" s="3">
        <f t="shared" si="37"/>
        <v>0</v>
      </c>
      <c r="I255" s="28"/>
      <c r="J255" s="28"/>
      <c r="K255" s="15"/>
      <c r="L255" s="15"/>
      <c r="M255" s="46"/>
      <c r="N255" s="47"/>
      <c r="O255" s="15"/>
      <c r="P255" s="15"/>
      <c r="Q255" s="54"/>
      <c r="R255" s="54"/>
      <c r="S255" s="15"/>
      <c r="T255" s="15"/>
      <c r="U255" s="65"/>
      <c r="V255" s="65"/>
      <c r="W255" s="15"/>
      <c r="X255" s="15"/>
      <c r="Y255" s="77"/>
      <c r="Z255" s="77"/>
      <c r="AA255" s="15"/>
      <c r="AB255" s="15"/>
      <c r="AC255" s="69">
        <f t="shared" si="28"/>
        <v>0</v>
      </c>
      <c r="AD255" s="69">
        <f t="shared" si="28"/>
        <v>0</v>
      </c>
      <c r="AE255" s="70"/>
      <c r="AF255" s="11">
        <f t="shared" si="34"/>
        <v>0</v>
      </c>
      <c r="BH255" s="148"/>
    </row>
    <row r="256" spans="1:60" ht="28.5" customHeight="1" hidden="1">
      <c r="A256" s="14">
        <v>2770</v>
      </c>
      <c r="B256" s="117" t="s">
        <v>31</v>
      </c>
      <c r="C256" s="120">
        <v>177733</v>
      </c>
      <c r="D256" s="3"/>
      <c r="E256" s="68"/>
      <c r="F256" s="3"/>
      <c r="G256" s="68"/>
      <c r="H256" s="3">
        <f t="shared" si="37"/>
        <v>177733</v>
      </c>
      <c r="I256" s="28"/>
      <c r="J256" s="28">
        <v>451</v>
      </c>
      <c r="K256" s="15"/>
      <c r="L256" s="15"/>
      <c r="M256" s="46"/>
      <c r="N256" s="47"/>
      <c r="O256" s="15"/>
      <c r="P256" s="15"/>
      <c r="Q256" s="54"/>
      <c r="R256" s="54"/>
      <c r="S256" s="15"/>
      <c r="T256" s="15"/>
      <c r="U256" s="65"/>
      <c r="V256" s="65"/>
      <c r="W256" s="15"/>
      <c r="X256" s="15"/>
      <c r="Y256" s="77"/>
      <c r="Z256" s="77"/>
      <c r="AA256" s="15"/>
      <c r="AB256" s="15"/>
      <c r="AC256" s="69">
        <f t="shared" si="28"/>
        <v>0</v>
      </c>
      <c r="AD256" s="69">
        <f t="shared" si="28"/>
        <v>451</v>
      </c>
      <c r="AE256" s="70"/>
      <c r="AF256" s="11">
        <f t="shared" si="34"/>
        <v>178184</v>
      </c>
      <c r="BH256" s="148"/>
    </row>
    <row r="257" spans="1:60" ht="28.5" customHeight="1" hidden="1">
      <c r="A257" s="1">
        <v>2792</v>
      </c>
      <c r="B257" s="117" t="s">
        <v>241</v>
      </c>
      <c r="C257" s="120">
        <v>97613</v>
      </c>
      <c r="D257" s="3"/>
      <c r="E257" s="68"/>
      <c r="F257" s="3"/>
      <c r="G257" s="68"/>
      <c r="H257" s="3">
        <f t="shared" si="37"/>
        <v>97613</v>
      </c>
      <c r="I257" s="28"/>
      <c r="J257" s="28"/>
      <c r="K257" s="15"/>
      <c r="L257" s="15"/>
      <c r="M257" s="46"/>
      <c r="N257" s="46">
        <v>37461</v>
      </c>
      <c r="O257" s="15"/>
      <c r="P257" s="15"/>
      <c r="Q257" s="54"/>
      <c r="R257" s="54">
        <v>0</v>
      </c>
      <c r="S257" s="15"/>
      <c r="T257" s="15"/>
      <c r="U257" s="65"/>
      <c r="V257" s="65"/>
      <c r="W257" s="15"/>
      <c r="X257" s="15"/>
      <c r="Y257" s="77"/>
      <c r="Z257" s="77"/>
      <c r="AA257" s="15"/>
      <c r="AB257" s="15"/>
      <c r="AC257" s="69">
        <f t="shared" si="28"/>
        <v>0</v>
      </c>
      <c r="AD257" s="69">
        <f t="shared" si="28"/>
        <v>37461</v>
      </c>
      <c r="AE257" s="70"/>
      <c r="AF257" s="11">
        <f t="shared" si="34"/>
        <v>135074</v>
      </c>
      <c r="BH257" s="148"/>
    </row>
    <row r="258" spans="1:60" ht="28.5" customHeight="1" hidden="1">
      <c r="A258" s="1">
        <v>2793</v>
      </c>
      <c r="B258" s="117" t="s">
        <v>498</v>
      </c>
      <c r="C258" s="120"/>
      <c r="D258" s="3"/>
      <c r="E258" s="68"/>
      <c r="F258" s="3"/>
      <c r="G258" s="68"/>
      <c r="H258" s="3">
        <f t="shared" si="37"/>
        <v>0</v>
      </c>
      <c r="I258" s="28"/>
      <c r="J258" s="28"/>
      <c r="K258" s="15"/>
      <c r="L258" s="15"/>
      <c r="M258" s="46"/>
      <c r="N258" s="46"/>
      <c r="O258" s="15"/>
      <c r="P258" s="15"/>
      <c r="Q258" s="54"/>
      <c r="R258" s="54">
        <v>3562</v>
      </c>
      <c r="S258" s="15"/>
      <c r="T258" s="15"/>
      <c r="U258" s="65"/>
      <c r="V258" s="65"/>
      <c r="W258" s="15"/>
      <c r="X258" s="15"/>
      <c r="Y258" s="77"/>
      <c r="Z258" s="77"/>
      <c r="AA258" s="15"/>
      <c r="AB258" s="15"/>
      <c r="AC258" s="69">
        <f t="shared" si="28"/>
        <v>0</v>
      </c>
      <c r="AD258" s="69">
        <f t="shared" si="28"/>
        <v>3562</v>
      </c>
      <c r="AE258" s="70"/>
      <c r="AF258" s="11">
        <f t="shared" si="34"/>
        <v>3562</v>
      </c>
      <c r="BH258" s="148"/>
    </row>
    <row r="259" spans="1:60" ht="28.5" customHeight="1" hidden="1">
      <c r="A259" s="14">
        <v>2794</v>
      </c>
      <c r="B259" s="117" t="s">
        <v>32</v>
      </c>
      <c r="C259" s="120">
        <v>62458</v>
      </c>
      <c r="D259" s="3"/>
      <c r="E259" s="68"/>
      <c r="F259" s="3"/>
      <c r="G259" s="68"/>
      <c r="H259" s="3">
        <f t="shared" si="37"/>
        <v>62458</v>
      </c>
      <c r="I259" s="28"/>
      <c r="J259" s="28">
        <v>556</v>
      </c>
      <c r="K259" s="15"/>
      <c r="L259" s="15"/>
      <c r="M259" s="46"/>
      <c r="N259" s="50"/>
      <c r="O259" s="15"/>
      <c r="P259" s="15"/>
      <c r="Q259" s="54"/>
      <c r="R259" s="54">
        <v>30650</v>
      </c>
      <c r="S259" s="15"/>
      <c r="T259" s="15"/>
      <c r="U259" s="65"/>
      <c r="V259" s="65">
        <v>3227</v>
      </c>
      <c r="W259" s="15"/>
      <c r="X259" s="15"/>
      <c r="Y259" s="77"/>
      <c r="Z259" s="77"/>
      <c r="AA259" s="15"/>
      <c r="AB259" s="15"/>
      <c r="AC259" s="69">
        <f t="shared" si="28"/>
        <v>0</v>
      </c>
      <c r="AD259" s="69">
        <f t="shared" si="28"/>
        <v>34433</v>
      </c>
      <c r="AE259" s="70"/>
      <c r="AF259" s="11">
        <f t="shared" si="34"/>
        <v>96891</v>
      </c>
      <c r="BH259" s="148"/>
    </row>
    <row r="260" spans="1:60" ht="28.5" customHeight="1" hidden="1">
      <c r="A260" s="1">
        <v>2799</v>
      </c>
      <c r="B260" s="117" t="s">
        <v>162</v>
      </c>
      <c r="C260" s="120">
        <v>5820</v>
      </c>
      <c r="D260" s="26"/>
      <c r="E260" s="68"/>
      <c r="F260" s="3"/>
      <c r="G260" s="68"/>
      <c r="H260" s="3">
        <f t="shared" si="37"/>
        <v>5820</v>
      </c>
      <c r="I260" s="29"/>
      <c r="J260" s="29"/>
      <c r="K260" s="15"/>
      <c r="L260" s="15"/>
      <c r="M260" s="51"/>
      <c r="N260" s="46"/>
      <c r="O260" s="15"/>
      <c r="P260" s="15"/>
      <c r="Q260" s="54"/>
      <c r="R260" s="54"/>
      <c r="S260" s="15"/>
      <c r="T260" s="15"/>
      <c r="U260" s="65"/>
      <c r="V260" s="65">
        <v>7561</v>
      </c>
      <c r="W260" s="15"/>
      <c r="X260" s="15"/>
      <c r="Y260" s="77"/>
      <c r="Z260" s="77"/>
      <c r="AA260" s="15"/>
      <c r="AB260" s="15"/>
      <c r="AC260" s="69">
        <f t="shared" si="28"/>
        <v>0</v>
      </c>
      <c r="AD260" s="69">
        <f t="shared" si="28"/>
        <v>7561</v>
      </c>
      <c r="AE260" s="70"/>
      <c r="AF260" s="11">
        <f t="shared" si="34"/>
        <v>13381</v>
      </c>
      <c r="BH260" s="148"/>
    </row>
    <row r="261" spans="1:60" ht="28.5" customHeight="1" hidden="1">
      <c r="A261" s="1">
        <v>2811</v>
      </c>
      <c r="B261" s="117" t="s">
        <v>242</v>
      </c>
      <c r="C261" s="120">
        <v>20893</v>
      </c>
      <c r="D261" s="3"/>
      <c r="E261" s="68"/>
      <c r="F261" s="3"/>
      <c r="G261" s="68"/>
      <c r="H261" s="3">
        <f t="shared" si="37"/>
        <v>20893</v>
      </c>
      <c r="I261" s="28"/>
      <c r="J261" s="28">
        <v>209</v>
      </c>
      <c r="K261" s="15"/>
      <c r="L261" s="15"/>
      <c r="M261" s="46"/>
      <c r="N261" s="47"/>
      <c r="O261" s="15"/>
      <c r="P261" s="15"/>
      <c r="Q261" s="54"/>
      <c r="R261" s="54"/>
      <c r="S261" s="15"/>
      <c r="T261" s="15"/>
      <c r="U261" s="65"/>
      <c r="V261" s="65"/>
      <c r="W261" s="15"/>
      <c r="X261" s="15"/>
      <c r="Y261" s="77"/>
      <c r="Z261" s="77"/>
      <c r="AA261" s="15"/>
      <c r="AB261" s="15"/>
      <c r="AC261" s="69">
        <f t="shared" si="28"/>
        <v>0</v>
      </c>
      <c r="AD261" s="69">
        <f t="shared" si="28"/>
        <v>209</v>
      </c>
      <c r="AE261" s="70"/>
      <c r="AF261" s="11">
        <f t="shared" si="34"/>
        <v>21102</v>
      </c>
      <c r="BH261" s="148"/>
    </row>
    <row r="262" spans="1:60" ht="28.5" customHeight="1" hidden="1">
      <c r="A262" s="1">
        <v>2813</v>
      </c>
      <c r="B262" s="117" t="s">
        <v>243</v>
      </c>
      <c r="C262" s="120">
        <v>3510</v>
      </c>
      <c r="D262" s="3"/>
      <c r="E262" s="68"/>
      <c r="F262" s="3"/>
      <c r="G262" s="68"/>
      <c r="H262" s="3">
        <f t="shared" si="37"/>
        <v>3510</v>
      </c>
      <c r="I262" s="28"/>
      <c r="J262" s="28"/>
      <c r="K262" s="15"/>
      <c r="L262" s="15"/>
      <c r="M262" s="46"/>
      <c r="N262" s="47"/>
      <c r="O262" s="15"/>
      <c r="P262" s="15"/>
      <c r="Q262" s="54"/>
      <c r="R262" s="54"/>
      <c r="S262" s="15"/>
      <c r="T262" s="15"/>
      <c r="U262" s="65"/>
      <c r="V262" s="65"/>
      <c r="W262" s="15"/>
      <c r="X262" s="15"/>
      <c r="Y262" s="77"/>
      <c r="Z262" s="77"/>
      <c r="AA262" s="15"/>
      <c r="AB262" s="15"/>
      <c r="AC262" s="69">
        <f t="shared" si="28"/>
        <v>0</v>
      </c>
      <c r="AD262" s="69">
        <f t="shared" si="28"/>
        <v>0</v>
      </c>
      <c r="AE262" s="70"/>
      <c r="AF262" s="11">
        <f t="shared" si="34"/>
        <v>3510</v>
      </c>
      <c r="BH262" s="148"/>
    </row>
    <row r="263" spans="1:60" ht="28.5" customHeight="1" hidden="1">
      <c r="A263" s="1">
        <v>2815</v>
      </c>
      <c r="B263" s="117" t="s">
        <v>226</v>
      </c>
      <c r="C263" s="120"/>
      <c r="D263" s="3"/>
      <c r="E263" s="68"/>
      <c r="F263" s="3"/>
      <c r="G263" s="68"/>
      <c r="H263" s="3"/>
      <c r="I263" s="28"/>
      <c r="J263" s="28"/>
      <c r="K263" s="15"/>
      <c r="L263" s="15"/>
      <c r="M263" s="46"/>
      <c r="N263" s="47"/>
      <c r="O263" s="15"/>
      <c r="P263" s="15"/>
      <c r="Q263" s="54"/>
      <c r="R263" s="54"/>
      <c r="S263" s="15"/>
      <c r="T263" s="15"/>
      <c r="U263" s="65"/>
      <c r="V263" s="65"/>
      <c r="W263" s="15"/>
      <c r="X263" s="15"/>
      <c r="Y263" s="77"/>
      <c r="Z263" s="77">
        <v>18328</v>
      </c>
      <c r="AA263" s="15"/>
      <c r="AB263" s="15"/>
      <c r="AC263" s="69">
        <f>I263+K263+M263+O263+Q263+S263+U263+W263+Y263+AA263</f>
        <v>0</v>
      </c>
      <c r="AD263" s="69">
        <f>J263+L263+N263+P263+R263+T263+V263+X263+Z263+AB263</f>
        <v>18328</v>
      </c>
      <c r="AE263" s="70"/>
      <c r="AF263" s="11">
        <f t="shared" si="34"/>
        <v>18328</v>
      </c>
      <c r="BH263" s="148"/>
    </row>
    <row r="264" spans="1:60" ht="28.5" customHeight="1" hidden="1">
      <c r="A264" s="1">
        <v>2818</v>
      </c>
      <c r="B264" s="117" t="s">
        <v>244</v>
      </c>
      <c r="C264" s="120">
        <v>5844</v>
      </c>
      <c r="D264" s="3"/>
      <c r="E264" s="68"/>
      <c r="F264" s="3"/>
      <c r="G264" s="68"/>
      <c r="H264" s="3">
        <f t="shared" si="37"/>
        <v>5844</v>
      </c>
      <c r="I264" s="28"/>
      <c r="J264" s="28">
        <v>606</v>
      </c>
      <c r="K264" s="15"/>
      <c r="L264" s="15"/>
      <c r="M264" s="46"/>
      <c r="N264" s="46">
        <f>(20132-8204-9879)+390</f>
        <v>2439</v>
      </c>
      <c r="O264" s="15"/>
      <c r="P264" s="15"/>
      <c r="Q264" s="54"/>
      <c r="R264" s="54"/>
      <c r="S264" s="15"/>
      <c r="T264" s="15"/>
      <c r="U264" s="65"/>
      <c r="V264" s="65"/>
      <c r="W264" s="15"/>
      <c r="X264" s="15"/>
      <c r="Y264" s="77"/>
      <c r="Z264" s="77"/>
      <c r="AA264" s="15"/>
      <c r="AB264" s="15"/>
      <c r="AC264" s="69">
        <f t="shared" si="28"/>
        <v>0</v>
      </c>
      <c r="AD264" s="69">
        <f t="shared" si="28"/>
        <v>3045</v>
      </c>
      <c r="AE264" s="70"/>
      <c r="AF264" s="11">
        <f t="shared" si="34"/>
        <v>8889</v>
      </c>
      <c r="BH264" s="148"/>
    </row>
    <row r="265" spans="1:60" ht="28.5" customHeight="1" hidden="1">
      <c r="A265" s="1">
        <v>2819</v>
      </c>
      <c r="B265" s="117" t="s">
        <v>245</v>
      </c>
      <c r="C265" s="120">
        <v>653</v>
      </c>
      <c r="D265" s="3"/>
      <c r="E265" s="68"/>
      <c r="F265" s="3"/>
      <c r="G265" s="68"/>
      <c r="H265" s="3">
        <f t="shared" si="37"/>
        <v>653</v>
      </c>
      <c r="I265" s="28"/>
      <c r="J265" s="28"/>
      <c r="K265" s="15"/>
      <c r="L265" s="15"/>
      <c r="M265" s="46"/>
      <c r="N265" s="47"/>
      <c r="O265" s="15"/>
      <c r="P265" s="15"/>
      <c r="Q265" s="54"/>
      <c r="R265" s="54"/>
      <c r="S265" s="15"/>
      <c r="T265" s="15"/>
      <c r="U265" s="65"/>
      <c r="V265" s="65"/>
      <c r="W265" s="15"/>
      <c r="X265" s="15"/>
      <c r="Y265" s="77"/>
      <c r="Z265" s="77"/>
      <c r="AA265" s="15"/>
      <c r="AB265" s="15"/>
      <c r="AC265" s="69">
        <f aca="true" t="shared" si="38" ref="AC265:AD305">I265+K265+M265+O265+Q265+S265+U265+W265+Y265+AA265</f>
        <v>0</v>
      </c>
      <c r="AD265" s="69">
        <f t="shared" si="38"/>
        <v>0</v>
      </c>
      <c r="AE265" s="70"/>
      <c r="AF265" s="11">
        <f t="shared" si="34"/>
        <v>653</v>
      </c>
      <c r="BH265" s="148"/>
    </row>
    <row r="266" spans="1:60" ht="28.5" customHeight="1" hidden="1">
      <c r="A266" s="14">
        <v>2820</v>
      </c>
      <c r="B266" s="117" t="s">
        <v>33</v>
      </c>
      <c r="C266" s="120">
        <v>12220</v>
      </c>
      <c r="D266" s="3"/>
      <c r="E266" s="68"/>
      <c r="F266" s="3"/>
      <c r="G266" s="68"/>
      <c r="H266" s="3">
        <f t="shared" si="37"/>
        <v>12220</v>
      </c>
      <c r="I266" s="28"/>
      <c r="J266" s="28">
        <v>922</v>
      </c>
      <c r="K266" s="15"/>
      <c r="L266" s="15"/>
      <c r="M266" s="46"/>
      <c r="N266" s="47"/>
      <c r="O266" s="15"/>
      <c r="P266" s="15"/>
      <c r="Q266" s="54"/>
      <c r="R266" s="54"/>
      <c r="S266" s="15"/>
      <c r="T266" s="15"/>
      <c r="U266" s="65"/>
      <c r="V266" s="65"/>
      <c r="W266" s="15"/>
      <c r="X266" s="15"/>
      <c r="Y266" s="77"/>
      <c r="Z266" s="77"/>
      <c r="AA266" s="15"/>
      <c r="AB266" s="15"/>
      <c r="AC266" s="69">
        <f t="shared" si="38"/>
        <v>0</v>
      </c>
      <c r="AD266" s="69">
        <f t="shared" si="38"/>
        <v>922</v>
      </c>
      <c r="AE266" s="70"/>
      <c r="AF266" s="11">
        <f t="shared" si="34"/>
        <v>13142</v>
      </c>
      <c r="BH266" s="148"/>
    </row>
    <row r="267" spans="1:60" ht="28.5" customHeight="1" hidden="1">
      <c r="A267" s="1">
        <v>2851</v>
      </c>
      <c r="B267" s="117" t="s">
        <v>176</v>
      </c>
      <c r="C267" s="120">
        <v>1148727</v>
      </c>
      <c r="D267" s="3">
        <v>42229</v>
      </c>
      <c r="E267" s="68" t="s">
        <v>10</v>
      </c>
      <c r="F267" s="3"/>
      <c r="G267" s="68"/>
      <c r="H267" s="3">
        <f t="shared" si="37"/>
        <v>1106498</v>
      </c>
      <c r="I267" s="29"/>
      <c r="J267" s="29">
        <v>18569</v>
      </c>
      <c r="K267" s="26"/>
      <c r="L267" s="15"/>
      <c r="M267" s="51"/>
      <c r="N267" s="46">
        <f>34843+3253</f>
        <v>38096</v>
      </c>
      <c r="O267" s="26"/>
      <c r="P267" s="15"/>
      <c r="Q267" s="54"/>
      <c r="R267" s="54">
        <v>106</v>
      </c>
      <c r="S267" s="15"/>
      <c r="T267" s="15"/>
      <c r="U267" s="65"/>
      <c r="V267" s="65"/>
      <c r="W267" s="15"/>
      <c r="X267" s="15"/>
      <c r="Y267" s="77"/>
      <c r="Z267" s="77">
        <v>9805</v>
      </c>
      <c r="AA267" s="15"/>
      <c r="AB267" s="15"/>
      <c r="AC267" s="69">
        <f t="shared" si="38"/>
        <v>0</v>
      </c>
      <c r="AD267" s="69">
        <f t="shared" si="38"/>
        <v>66576</v>
      </c>
      <c r="AE267" s="70"/>
      <c r="AF267" s="11">
        <f t="shared" si="34"/>
        <v>1173074</v>
      </c>
      <c r="BH267" s="148"/>
    </row>
    <row r="268" spans="1:60" ht="28.5" customHeight="1" hidden="1">
      <c r="A268" s="1">
        <v>2853</v>
      </c>
      <c r="B268" s="117" t="s">
        <v>246</v>
      </c>
      <c r="C268" s="120">
        <v>695</v>
      </c>
      <c r="D268" s="3"/>
      <c r="E268" s="68"/>
      <c r="F268" s="3"/>
      <c r="G268" s="68"/>
      <c r="H268" s="3">
        <f t="shared" si="37"/>
        <v>695</v>
      </c>
      <c r="I268" s="28"/>
      <c r="J268" s="28">
        <v>3536</v>
      </c>
      <c r="K268" s="15"/>
      <c r="L268" s="15"/>
      <c r="M268" s="46"/>
      <c r="N268" s="47"/>
      <c r="O268" s="15"/>
      <c r="P268" s="15"/>
      <c r="Q268" s="54"/>
      <c r="R268" s="54">
        <v>10</v>
      </c>
      <c r="S268" s="15"/>
      <c r="T268" s="15"/>
      <c r="U268" s="65"/>
      <c r="V268" s="65"/>
      <c r="W268" s="15"/>
      <c r="X268" s="15"/>
      <c r="Y268" s="77"/>
      <c r="Z268" s="77"/>
      <c r="AA268" s="15"/>
      <c r="AB268" s="15"/>
      <c r="AC268" s="69">
        <f t="shared" si="38"/>
        <v>0</v>
      </c>
      <c r="AD268" s="69">
        <f t="shared" si="38"/>
        <v>3546</v>
      </c>
      <c r="AE268" s="70"/>
      <c r="AF268" s="11">
        <f t="shared" si="34"/>
        <v>4241</v>
      </c>
      <c r="BH268" s="148"/>
    </row>
    <row r="269" spans="1:60" ht="28.5" customHeight="1" hidden="1">
      <c r="A269" s="1">
        <v>2854</v>
      </c>
      <c r="B269" s="117" t="s">
        <v>177</v>
      </c>
      <c r="C269" s="120">
        <v>22110</v>
      </c>
      <c r="D269" s="3"/>
      <c r="E269" s="68"/>
      <c r="F269" s="3"/>
      <c r="G269" s="68"/>
      <c r="H269" s="3">
        <f t="shared" si="37"/>
        <v>22110</v>
      </c>
      <c r="I269" s="29"/>
      <c r="J269" s="29">
        <v>2914</v>
      </c>
      <c r="K269" s="15"/>
      <c r="L269" s="15"/>
      <c r="M269" s="51"/>
      <c r="N269" s="46">
        <v>13706</v>
      </c>
      <c r="O269" s="15"/>
      <c r="P269" s="15"/>
      <c r="Q269" s="54"/>
      <c r="R269" s="54">
        <v>0</v>
      </c>
      <c r="S269" s="15"/>
      <c r="T269" s="15"/>
      <c r="U269" s="65"/>
      <c r="V269" s="65"/>
      <c r="W269" s="15"/>
      <c r="X269" s="15"/>
      <c r="Y269" s="77"/>
      <c r="Z269" s="77">
        <v>16640</v>
      </c>
      <c r="AA269" s="15"/>
      <c r="AB269" s="15"/>
      <c r="AC269" s="69">
        <f t="shared" si="38"/>
        <v>0</v>
      </c>
      <c r="AD269" s="69">
        <f t="shared" si="38"/>
        <v>33260</v>
      </c>
      <c r="AE269" s="70"/>
      <c r="AF269" s="11">
        <f t="shared" si="34"/>
        <v>55370</v>
      </c>
      <c r="BH269" s="148"/>
    </row>
    <row r="270" spans="1:60" ht="28.5" customHeight="1" hidden="1">
      <c r="A270" s="1">
        <v>2856</v>
      </c>
      <c r="B270" s="117" t="s">
        <v>247</v>
      </c>
      <c r="C270" s="120">
        <v>33527</v>
      </c>
      <c r="D270" s="3"/>
      <c r="E270" s="68"/>
      <c r="F270" s="3"/>
      <c r="G270" s="68"/>
      <c r="H270" s="3">
        <f t="shared" si="37"/>
        <v>33527</v>
      </c>
      <c r="I270" s="28"/>
      <c r="J270" s="28"/>
      <c r="K270" s="15"/>
      <c r="L270" s="15"/>
      <c r="M270" s="46"/>
      <c r="N270" s="47"/>
      <c r="O270" s="15"/>
      <c r="P270" s="15"/>
      <c r="Q270" s="54"/>
      <c r="R270" s="54"/>
      <c r="S270" s="15"/>
      <c r="T270" s="15"/>
      <c r="U270" s="65"/>
      <c r="V270" s="65"/>
      <c r="W270" s="15"/>
      <c r="X270" s="15"/>
      <c r="Y270" s="77"/>
      <c r="Z270" s="77"/>
      <c r="AA270" s="15"/>
      <c r="AB270" s="15"/>
      <c r="AC270" s="69">
        <f t="shared" si="38"/>
        <v>0</v>
      </c>
      <c r="AD270" s="69">
        <f t="shared" si="38"/>
        <v>0</v>
      </c>
      <c r="AE270" s="70"/>
      <c r="AF270" s="11">
        <f t="shared" si="34"/>
        <v>33527</v>
      </c>
      <c r="BH270" s="148"/>
    </row>
    <row r="271" spans="1:60" ht="28.5" customHeight="1" hidden="1">
      <c r="A271" s="1">
        <v>2857</v>
      </c>
      <c r="B271" s="117" t="s">
        <v>141</v>
      </c>
      <c r="C271" s="120"/>
      <c r="D271" s="3"/>
      <c r="E271" s="68"/>
      <c r="F271" s="3"/>
      <c r="G271" s="68"/>
      <c r="H271" s="3">
        <f t="shared" si="37"/>
        <v>0</v>
      </c>
      <c r="I271" s="28"/>
      <c r="J271" s="28">
        <v>33854</v>
      </c>
      <c r="K271" s="15"/>
      <c r="L271" s="15"/>
      <c r="M271" s="46"/>
      <c r="N271" s="47"/>
      <c r="O271" s="15"/>
      <c r="P271" s="15"/>
      <c r="Q271" s="54"/>
      <c r="R271" s="54"/>
      <c r="S271" s="15"/>
      <c r="T271" s="15"/>
      <c r="U271" s="65"/>
      <c r="V271" s="65"/>
      <c r="W271" s="15"/>
      <c r="X271" s="15"/>
      <c r="Y271" s="77"/>
      <c r="Z271" s="77"/>
      <c r="AA271" s="15"/>
      <c r="AB271" s="15"/>
      <c r="AC271" s="69">
        <f t="shared" si="38"/>
        <v>0</v>
      </c>
      <c r="AD271" s="69">
        <f t="shared" si="38"/>
        <v>33854</v>
      </c>
      <c r="AE271" s="70"/>
      <c r="AF271" s="11">
        <f t="shared" si="34"/>
        <v>33854</v>
      </c>
      <c r="BH271" s="148"/>
    </row>
    <row r="272" spans="1:60" ht="28.5" customHeight="1" hidden="1">
      <c r="A272" s="1">
        <v>2860</v>
      </c>
      <c r="B272" s="117" t="s">
        <v>248</v>
      </c>
      <c r="C272" s="120">
        <v>1317336</v>
      </c>
      <c r="D272" s="85">
        <f>18440+14+839989+98721</f>
        <v>957164</v>
      </c>
      <c r="E272" s="68" t="s">
        <v>11</v>
      </c>
      <c r="F272" s="3"/>
      <c r="G272" s="68"/>
      <c r="H272" s="3">
        <f t="shared" si="37"/>
        <v>360172</v>
      </c>
      <c r="I272" s="156"/>
      <c r="J272" s="155">
        <v>0</v>
      </c>
      <c r="K272" s="15"/>
      <c r="L272" s="15"/>
      <c r="M272" s="51"/>
      <c r="N272" s="150"/>
      <c r="O272" s="15"/>
      <c r="P272" s="15"/>
      <c r="Q272" s="54"/>
      <c r="R272" s="54">
        <v>0</v>
      </c>
      <c r="S272" s="15">
        <v>0</v>
      </c>
      <c r="T272" s="15"/>
      <c r="U272" s="65"/>
      <c r="V272" s="65"/>
      <c r="W272" s="15"/>
      <c r="X272" s="15"/>
      <c r="Y272" s="77"/>
      <c r="Z272" s="77"/>
      <c r="AA272" s="15"/>
      <c r="AB272" s="15"/>
      <c r="AC272" s="69">
        <f t="shared" si="38"/>
        <v>0</v>
      </c>
      <c r="AD272" s="69">
        <f t="shared" si="38"/>
        <v>0</v>
      </c>
      <c r="AE272" s="70"/>
      <c r="AF272" s="11">
        <f t="shared" si="34"/>
        <v>360172</v>
      </c>
      <c r="BH272" s="148"/>
    </row>
    <row r="273" spans="1:60" ht="28.5" customHeight="1" hidden="1">
      <c r="A273" s="14">
        <v>2861</v>
      </c>
      <c r="B273" s="117" t="s">
        <v>34</v>
      </c>
      <c r="C273" s="120"/>
      <c r="D273" s="3"/>
      <c r="E273" s="68"/>
      <c r="F273" s="3"/>
      <c r="G273" s="68"/>
      <c r="H273" s="3">
        <f t="shared" si="37"/>
        <v>0</v>
      </c>
      <c r="I273" s="156"/>
      <c r="J273" s="156"/>
      <c r="K273" s="15"/>
      <c r="L273" s="15"/>
      <c r="M273" s="51"/>
      <c r="N273" s="150"/>
      <c r="O273" s="15"/>
      <c r="P273" s="15"/>
      <c r="Q273" s="54"/>
      <c r="R273" s="54"/>
      <c r="S273" s="15"/>
      <c r="T273" s="15"/>
      <c r="U273" s="65"/>
      <c r="V273" s="65"/>
      <c r="W273" s="15"/>
      <c r="X273" s="15"/>
      <c r="Y273" s="77"/>
      <c r="Z273" s="77"/>
      <c r="AA273" s="15"/>
      <c r="AB273" s="15"/>
      <c r="AC273" s="69">
        <f t="shared" si="38"/>
        <v>0</v>
      </c>
      <c r="AD273" s="69">
        <f t="shared" si="38"/>
        <v>0</v>
      </c>
      <c r="AE273" s="70"/>
      <c r="AF273" s="11">
        <f t="shared" si="34"/>
        <v>0</v>
      </c>
      <c r="BH273" s="148"/>
    </row>
    <row r="274" spans="1:60" ht="28.5" customHeight="1" hidden="1">
      <c r="A274" s="14">
        <v>2864</v>
      </c>
      <c r="B274" s="117" t="s">
        <v>227</v>
      </c>
      <c r="C274" s="120"/>
      <c r="D274" s="3"/>
      <c r="E274" s="68"/>
      <c r="F274" s="3"/>
      <c r="G274" s="68"/>
      <c r="H274" s="3"/>
      <c r="I274" s="156"/>
      <c r="J274" s="156"/>
      <c r="K274" s="15"/>
      <c r="L274" s="15"/>
      <c r="M274" s="51"/>
      <c r="N274" s="150"/>
      <c r="O274" s="15"/>
      <c r="P274" s="15"/>
      <c r="Q274" s="54"/>
      <c r="R274" s="54"/>
      <c r="S274" s="15"/>
      <c r="T274" s="15"/>
      <c r="U274" s="65"/>
      <c r="V274" s="65"/>
      <c r="W274" s="15"/>
      <c r="X274" s="15"/>
      <c r="Y274" s="77"/>
      <c r="Z274" s="77">
        <v>1574</v>
      </c>
      <c r="AA274" s="15"/>
      <c r="AB274" s="15"/>
      <c r="AC274" s="69">
        <f>I274+K274+M274+O274+Q274+S274+U274+W274+Y274+AA274</f>
        <v>0</v>
      </c>
      <c r="AD274" s="69">
        <f>J274+L274+N274+P274+R274+T274+V274+X274+Z274+AB274</f>
        <v>1574</v>
      </c>
      <c r="AE274" s="70"/>
      <c r="AF274" s="11">
        <f t="shared" si="34"/>
        <v>1574</v>
      </c>
      <c r="BH274" s="148"/>
    </row>
    <row r="275" spans="1:60" ht="28.5" customHeight="1" hidden="1">
      <c r="A275" s="1">
        <v>2867</v>
      </c>
      <c r="B275" s="117" t="s">
        <v>258</v>
      </c>
      <c r="C275" s="120">
        <v>6308</v>
      </c>
      <c r="D275" s="3"/>
      <c r="E275" s="68"/>
      <c r="F275" s="3"/>
      <c r="G275" s="68"/>
      <c r="H275" s="3">
        <f t="shared" si="37"/>
        <v>6308</v>
      </c>
      <c r="I275" s="29"/>
      <c r="J275" s="29">
        <v>103</v>
      </c>
      <c r="K275" s="15"/>
      <c r="L275" s="15"/>
      <c r="M275" s="46"/>
      <c r="N275" s="46">
        <f>217+1675+563</f>
        <v>2455</v>
      </c>
      <c r="O275" s="15"/>
      <c r="P275" s="15"/>
      <c r="Q275" s="54"/>
      <c r="R275" s="54">
        <v>29</v>
      </c>
      <c r="S275" s="15"/>
      <c r="T275" s="15"/>
      <c r="U275" s="65"/>
      <c r="V275" s="65"/>
      <c r="W275" s="15"/>
      <c r="X275" s="15"/>
      <c r="Y275" s="77"/>
      <c r="Z275" s="77"/>
      <c r="AA275" s="15"/>
      <c r="AB275" s="15"/>
      <c r="AC275" s="69">
        <f t="shared" si="38"/>
        <v>0</v>
      </c>
      <c r="AD275" s="69">
        <f t="shared" si="38"/>
        <v>2587</v>
      </c>
      <c r="AE275" s="70"/>
      <c r="AF275" s="11">
        <f t="shared" si="34"/>
        <v>8895</v>
      </c>
      <c r="BH275" s="148"/>
    </row>
    <row r="276" spans="1:60" ht="28.5" customHeight="1" hidden="1">
      <c r="A276" s="1">
        <v>2892</v>
      </c>
      <c r="B276" s="117" t="s">
        <v>560</v>
      </c>
      <c r="C276" s="120"/>
      <c r="D276" s="3"/>
      <c r="E276" s="68"/>
      <c r="F276" s="3"/>
      <c r="G276" s="68"/>
      <c r="H276" s="3">
        <f t="shared" si="37"/>
        <v>0</v>
      </c>
      <c r="I276" s="29"/>
      <c r="J276" s="29"/>
      <c r="K276" s="15"/>
      <c r="L276" s="15"/>
      <c r="M276" s="46"/>
      <c r="N276" s="46"/>
      <c r="O276" s="15"/>
      <c r="P276" s="15"/>
      <c r="Q276" s="54"/>
      <c r="R276" s="54"/>
      <c r="S276" s="15"/>
      <c r="T276" s="15"/>
      <c r="U276" s="65"/>
      <c r="V276" s="65"/>
      <c r="W276" s="15"/>
      <c r="X276" s="15"/>
      <c r="Y276" s="77"/>
      <c r="Z276" s="77"/>
      <c r="AA276" s="15"/>
      <c r="AB276" s="15"/>
      <c r="AC276" s="69">
        <f t="shared" si="38"/>
        <v>0</v>
      </c>
      <c r="AD276" s="69">
        <f t="shared" si="38"/>
        <v>0</v>
      </c>
      <c r="AE276" s="70"/>
      <c r="AF276" s="11">
        <f t="shared" si="34"/>
        <v>0</v>
      </c>
      <c r="BH276" s="148"/>
    </row>
    <row r="277" spans="1:60" ht="28.5" customHeight="1" hidden="1">
      <c r="A277" s="1">
        <v>2894</v>
      </c>
      <c r="B277" s="117" t="s">
        <v>348</v>
      </c>
      <c r="C277" s="120"/>
      <c r="D277" s="3"/>
      <c r="E277" s="68"/>
      <c r="F277" s="3"/>
      <c r="G277" s="68"/>
      <c r="H277" s="3">
        <f t="shared" si="37"/>
        <v>0</v>
      </c>
      <c r="I277" s="29"/>
      <c r="J277" s="29"/>
      <c r="K277" s="15"/>
      <c r="L277" s="15"/>
      <c r="M277" s="46"/>
      <c r="N277" s="46"/>
      <c r="O277" s="15"/>
      <c r="P277" s="15"/>
      <c r="Q277" s="54"/>
      <c r="R277" s="54"/>
      <c r="S277" s="15"/>
      <c r="T277" s="15"/>
      <c r="U277" s="65"/>
      <c r="V277" s="65"/>
      <c r="W277" s="15"/>
      <c r="X277" s="15"/>
      <c r="Y277" s="77"/>
      <c r="Z277" s="77"/>
      <c r="AA277" s="15"/>
      <c r="AB277" s="15"/>
      <c r="AC277" s="69">
        <f t="shared" si="38"/>
        <v>0</v>
      </c>
      <c r="AD277" s="69">
        <f t="shared" si="38"/>
        <v>0</v>
      </c>
      <c r="AE277" s="70"/>
      <c r="AF277" s="11">
        <f t="shared" si="34"/>
        <v>0</v>
      </c>
      <c r="BH277" s="148"/>
    </row>
    <row r="278" spans="1:60" ht="28.5" customHeight="1" hidden="1">
      <c r="A278" s="1">
        <v>2895</v>
      </c>
      <c r="B278" s="117" t="s">
        <v>390</v>
      </c>
      <c r="C278" s="120">
        <v>30956</v>
      </c>
      <c r="D278" s="3"/>
      <c r="E278" s="68"/>
      <c r="F278" s="3"/>
      <c r="G278" s="68"/>
      <c r="H278" s="3">
        <f t="shared" si="37"/>
        <v>30956</v>
      </c>
      <c r="I278" s="29"/>
      <c r="J278" s="29"/>
      <c r="K278" s="15"/>
      <c r="L278" s="15"/>
      <c r="M278" s="46"/>
      <c r="N278" s="46"/>
      <c r="O278" s="15"/>
      <c r="P278" s="15"/>
      <c r="Q278" s="54"/>
      <c r="R278" s="54"/>
      <c r="S278" s="15"/>
      <c r="T278" s="15"/>
      <c r="U278" s="65"/>
      <c r="V278" s="65"/>
      <c r="W278" s="15"/>
      <c r="X278" s="15"/>
      <c r="Y278" s="77"/>
      <c r="Z278" s="77"/>
      <c r="AA278" s="15"/>
      <c r="AB278" s="15"/>
      <c r="AC278" s="69">
        <f t="shared" si="38"/>
        <v>0</v>
      </c>
      <c r="AD278" s="69">
        <f t="shared" si="38"/>
        <v>0</v>
      </c>
      <c r="AE278" s="70"/>
      <c r="AF278" s="11">
        <f t="shared" si="34"/>
        <v>30956</v>
      </c>
      <c r="BH278" s="148"/>
    </row>
    <row r="279" spans="1:60" ht="28.5" customHeight="1" hidden="1">
      <c r="A279" s="1">
        <v>2870</v>
      </c>
      <c r="B279" s="117" t="s">
        <v>183</v>
      </c>
      <c r="C279" s="120">
        <v>804110</v>
      </c>
      <c r="D279" s="85">
        <f>4331+2503+3413+651076+60631+10381</f>
        <v>732335</v>
      </c>
      <c r="E279" s="81" t="s">
        <v>437</v>
      </c>
      <c r="F279" s="3"/>
      <c r="G279" s="68"/>
      <c r="H279" s="3">
        <f t="shared" si="37"/>
        <v>71775</v>
      </c>
      <c r="I279" s="28"/>
      <c r="J279" s="28">
        <v>415</v>
      </c>
      <c r="K279" s="26"/>
      <c r="L279" s="15"/>
      <c r="M279" s="46"/>
      <c r="N279" s="47"/>
      <c r="O279" s="26"/>
      <c r="P279" s="15"/>
      <c r="Q279" s="54"/>
      <c r="R279" s="54">
        <v>10449</v>
      </c>
      <c r="S279" s="15"/>
      <c r="T279" s="15"/>
      <c r="U279" s="65"/>
      <c r="V279" s="65"/>
      <c r="W279" s="15"/>
      <c r="X279" s="15"/>
      <c r="Y279" s="77"/>
      <c r="Z279" s="77"/>
      <c r="AA279" s="15"/>
      <c r="AB279" s="15"/>
      <c r="AC279" s="69">
        <f t="shared" si="38"/>
        <v>0</v>
      </c>
      <c r="AD279" s="69">
        <f t="shared" si="38"/>
        <v>10864</v>
      </c>
      <c r="AE279" s="70"/>
      <c r="AF279" s="11">
        <f t="shared" si="34"/>
        <v>82639</v>
      </c>
      <c r="BH279" s="148"/>
    </row>
    <row r="280" spans="1:60" ht="21" customHeight="1">
      <c r="A280" s="12"/>
      <c r="B280" s="117" t="s">
        <v>259</v>
      </c>
      <c r="C280" s="120">
        <f>515928</f>
        <v>515928</v>
      </c>
      <c r="D280" s="5">
        <f>SUM(D281:D282)</f>
        <v>0</v>
      </c>
      <c r="E280" s="67"/>
      <c r="F280" s="5">
        <f>SUM(F281:F282)</f>
        <v>0</v>
      </c>
      <c r="G280" s="67"/>
      <c r="H280" s="5">
        <f>C280+F280-D280</f>
        <v>515928</v>
      </c>
      <c r="I280" s="36">
        <f aca="true" t="shared" si="39" ref="I280:AB280">SUM(I281:I282)</f>
        <v>0</v>
      </c>
      <c r="J280" s="36">
        <f t="shared" si="39"/>
        <v>4202</v>
      </c>
      <c r="K280" s="17">
        <f t="shared" si="39"/>
        <v>0</v>
      </c>
      <c r="L280" s="17">
        <f t="shared" si="39"/>
        <v>0</v>
      </c>
      <c r="M280" s="17">
        <f t="shared" si="39"/>
        <v>0</v>
      </c>
      <c r="N280" s="17">
        <f t="shared" si="39"/>
        <v>0</v>
      </c>
      <c r="O280" s="17">
        <f t="shared" si="39"/>
        <v>0</v>
      </c>
      <c r="P280" s="17">
        <f t="shared" si="39"/>
        <v>0</v>
      </c>
      <c r="Q280" s="17">
        <f t="shared" si="39"/>
        <v>0</v>
      </c>
      <c r="R280" s="17">
        <f t="shared" si="39"/>
        <v>935</v>
      </c>
      <c r="S280" s="17">
        <f t="shared" si="39"/>
        <v>0</v>
      </c>
      <c r="T280" s="17">
        <f t="shared" si="39"/>
        <v>0</v>
      </c>
      <c r="U280" s="17">
        <f t="shared" si="39"/>
        <v>0</v>
      </c>
      <c r="V280" s="17">
        <f t="shared" si="39"/>
        <v>0</v>
      </c>
      <c r="W280" s="17">
        <f t="shared" si="39"/>
        <v>0</v>
      </c>
      <c r="X280" s="17">
        <f t="shared" si="39"/>
        <v>0</v>
      </c>
      <c r="Y280" s="17">
        <f t="shared" si="39"/>
        <v>0</v>
      </c>
      <c r="Z280" s="7">
        <f t="shared" si="39"/>
        <v>0</v>
      </c>
      <c r="AA280" s="17">
        <f t="shared" si="39"/>
        <v>0</v>
      </c>
      <c r="AB280" s="17">
        <f t="shared" si="39"/>
        <v>0</v>
      </c>
      <c r="AC280" s="5">
        <f t="shared" si="38"/>
        <v>0</v>
      </c>
      <c r="AD280" s="5">
        <f t="shared" si="38"/>
        <v>5137</v>
      </c>
      <c r="AE280" s="17">
        <f>SUM(AE281:AE282)</f>
        <v>0</v>
      </c>
      <c r="AF280" s="10">
        <f t="shared" si="34"/>
        <v>521065</v>
      </c>
      <c r="BH280" s="148">
        <v>282618</v>
      </c>
    </row>
    <row r="281" spans="1:60" ht="42" customHeight="1" hidden="1">
      <c r="A281" s="1">
        <v>2874</v>
      </c>
      <c r="B281" s="2" t="s">
        <v>260</v>
      </c>
      <c r="C281" s="3"/>
      <c r="D281" s="3"/>
      <c r="E281" s="68"/>
      <c r="F281" s="3"/>
      <c r="G281" s="68"/>
      <c r="H281" s="3">
        <f>C281+F281-D281</f>
        <v>0</v>
      </c>
      <c r="I281" s="28"/>
      <c r="J281" s="31"/>
      <c r="K281" s="15"/>
      <c r="L281" s="15"/>
      <c r="M281" s="46"/>
      <c r="N281" s="47"/>
      <c r="O281" s="15"/>
      <c r="P281" s="15"/>
      <c r="Q281" s="54"/>
      <c r="R281" s="54"/>
      <c r="S281" s="15"/>
      <c r="T281" s="15"/>
      <c r="U281" s="65"/>
      <c r="V281" s="65"/>
      <c r="W281" s="15"/>
      <c r="X281" s="15"/>
      <c r="Y281" s="77"/>
      <c r="Z281" s="77"/>
      <c r="AA281" s="15"/>
      <c r="AB281" s="15"/>
      <c r="AC281" s="69">
        <f t="shared" si="38"/>
        <v>0</v>
      </c>
      <c r="AD281" s="69">
        <f t="shared" si="38"/>
        <v>0</v>
      </c>
      <c r="AE281" s="70"/>
      <c r="AF281" s="11">
        <f t="shared" si="34"/>
        <v>0</v>
      </c>
      <c r="BH281" s="157"/>
    </row>
    <row r="282" spans="1:60" ht="39.75" customHeight="1" hidden="1">
      <c r="A282" s="1">
        <v>2875</v>
      </c>
      <c r="B282" s="2" t="s">
        <v>263</v>
      </c>
      <c r="C282" s="3">
        <v>517471</v>
      </c>
      <c r="D282" s="3"/>
      <c r="E282" s="68"/>
      <c r="F282" s="3"/>
      <c r="G282" s="68"/>
      <c r="H282" s="3">
        <f>C282+F282-D282</f>
        <v>517471</v>
      </c>
      <c r="I282" s="28"/>
      <c r="J282" s="28">
        <v>4202</v>
      </c>
      <c r="K282" s="15"/>
      <c r="L282" s="15"/>
      <c r="M282" s="46"/>
      <c r="N282" s="47"/>
      <c r="O282" s="15"/>
      <c r="P282" s="15"/>
      <c r="Q282" s="54"/>
      <c r="R282" s="54">
        <v>935</v>
      </c>
      <c r="S282" s="15"/>
      <c r="T282" s="15"/>
      <c r="U282" s="65"/>
      <c r="V282" s="65"/>
      <c r="W282" s="15"/>
      <c r="X282" s="15"/>
      <c r="Y282" s="77"/>
      <c r="Z282" s="77"/>
      <c r="AA282" s="15"/>
      <c r="AB282" s="15"/>
      <c r="AC282" s="69">
        <f t="shared" si="38"/>
        <v>0</v>
      </c>
      <c r="AD282" s="69">
        <f t="shared" si="38"/>
        <v>5137</v>
      </c>
      <c r="AE282" s="70"/>
      <c r="AF282" s="11">
        <f t="shared" si="34"/>
        <v>522608</v>
      </c>
      <c r="BH282" s="157"/>
    </row>
    <row r="283" spans="1:60" ht="24" customHeight="1">
      <c r="A283" s="14">
        <v>0</v>
      </c>
      <c r="B283" s="129" t="s">
        <v>264</v>
      </c>
      <c r="C283" s="130">
        <f>C280+C253+C242+C236+C207+C202+C191+C165+C234</f>
        <v>982175589</v>
      </c>
      <c r="D283" s="9">
        <f>D280+D253+D242+D236+D207+D202+D191+D165+D234</f>
        <v>8876156</v>
      </c>
      <c r="E283" s="89"/>
      <c r="F283" s="9">
        <f>F280+F253+F242+F236+F207+F202+F191+F165+F234</f>
        <v>1568925</v>
      </c>
      <c r="G283" s="89"/>
      <c r="H283" s="9">
        <f aca="true" t="shared" si="40" ref="H283:AB283">H280+H253+H242+H236+H207+H202+H191+H165+H234</f>
        <v>902321437</v>
      </c>
      <c r="I283" s="37">
        <f t="shared" si="40"/>
        <v>0</v>
      </c>
      <c r="J283" s="37">
        <f t="shared" si="40"/>
        <v>6371629</v>
      </c>
      <c r="K283" s="19">
        <f t="shared" si="40"/>
        <v>477386</v>
      </c>
      <c r="L283" s="19">
        <f t="shared" si="40"/>
        <v>0</v>
      </c>
      <c r="M283" s="19">
        <f t="shared" si="40"/>
        <v>0</v>
      </c>
      <c r="N283" s="19">
        <f t="shared" si="40"/>
        <v>6640589</v>
      </c>
      <c r="O283" s="19">
        <f t="shared" si="40"/>
        <v>467830</v>
      </c>
      <c r="P283" s="19">
        <f t="shared" si="40"/>
        <v>0</v>
      </c>
      <c r="Q283" s="19">
        <f t="shared" si="40"/>
        <v>0</v>
      </c>
      <c r="R283" s="19">
        <f t="shared" si="40"/>
        <v>4814635</v>
      </c>
      <c r="S283" s="19">
        <f t="shared" si="40"/>
        <v>3119200</v>
      </c>
      <c r="T283" s="19">
        <f t="shared" si="40"/>
        <v>0</v>
      </c>
      <c r="U283" s="19">
        <f t="shared" si="40"/>
        <v>0</v>
      </c>
      <c r="V283" s="19">
        <f t="shared" si="40"/>
        <v>70965984</v>
      </c>
      <c r="W283" s="19">
        <f t="shared" si="40"/>
        <v>71289358</v>
      </c>
      <c r="X283" s="19">
        <f t="shared" si="40"/>
        <v>0</v>
      </c>
      <c r="Y283" s="19">
        <f t="shared" si="40"/>
        <v>0</v>
      </c>
      <c r="Z283" s="64">
        <f t="shared" si="40"/>
        <v>46347</v>
      </c>
      <c r="AA283" s="19">
        <f t="shared" si="40"/>
        <v>0</v>
      </c>
      <c r="AB283" s="19">
        <f t="shared" si="40"/>
        <v>0</v>
      </c>
      <c r="AC283" s="9">
        <f t="shared" si="38"/>
        <v>75353774</v>
      </c>
      <c r="AD283" s="9">
        <f t="shared" si="38"/>
        <v>88839184</v>
      </c>
      <c r="AE283" s="9">
        <f>AE280+AE253+AE242+AE236+AE207+AE202+AE191+AE165+AE234</f>
        <v>0</v>
      </c>
      <c r="AF283" s="40">
        <f t="shared" si="34"/>
        <v>915806847</v>
      </c>
      <c r="BH283" s="130">
        <f>BH280+BH253+BH242+BH236+BH207+BH202+BH191+BH165+BH234</f>
        <v>325729050</v>
      </c>
    </row>
    <row r="284" spans="1:60" ht="28.5" customHeight="1" hidden="1">
      <c r="A284" s="14"/>
      <c r="B284" s="129"/>
      <c r="C284" s="130"/>
      <c r="D284" s="9"/>
      <c r="E284" s="89"/>
      <c r="F284" s="9"/>
      <c r="G284" s="89"/>
      <c r="H284" s="9">
        <f>H280+H253+H242+H236+H234+H207+H202+H191+H165</f>
        <v>902321437</v>
      </c>
      <c r="I284" s="37"/>
      <c r="J284" s="37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64"/>
      <c r="Z284" s="64"/>
      <c r="AA284" s="19"/>
      <c r="AB284" s="19"/>
      <c r="AC284" s="9">
        <f t="shared" si="38"/>
        <v>0</v>
      </c>
      <c r="AD284" s="9">
        <f t="shared" si="38"/>
        <v>0</v>
      </c>
      <c r="AE284" s="9"/>
      <c r="AF284" s="62"/>
      <c r="BH284" s="157"/>
    </row>
    <row r="285" spans="1:60" ht="21" customHeight="1">
      <c r="A285" s="14"/>
      <c r="B285" s="129" t="s">
        <v>311</v>
      </c>
      <c r="C285" s="130"/>
      <c r="D285" s="9"/>
      <c r="E285" s="89"/>
      <c r="F285" s="9"/>
      <c r="G285" s="89"/>
      <c r="H285" s="9"/>
      <c r="I285" s="37"/>
      <c r="J285" s="37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64"/>
      <c r="Z285" s="64"/>
      <c r="AA285" s="19"/>
      <c r="AB285" s="19"/>
      <c r="AC285" s="9">
        <f t="shared" si="38"/>
        <v>0</v>
      </c>
      <c r="AD285" s="9">
        <f t="shared" si="38"/>
        <v>0</v>
      </c>
      <c r="AE285" s="9"/>
      <c r="AF285" s="40"/>
      <c r="BH285" s="158"/>
    </row>
    <row r="286" spans="1:60" ht="21.75" customHeight="1">
      <c r="A286" s="12">
        <v>3000</v>
      </c>
      <c r="B286" s="117" t="s">
        <v>265</v>
      </c>
      <c r="C286" s="120">
        <f>47600000</f>
        <v>47600000</v>
      </c>
      <c r="D286" s="5">
        <f>SUM(D287:D288)</f>
        <v>0</v>
      </c>
      <c r="E286" s="67"/>
      <c r="F286" s="5">
        <f>SUM(F287:F288)</f>
        <v>0</v>
      </c>
      <c r="G286" s="67"/>
      <c r="H286" s="5">
        <f aca="true" t="shared" si="41" ref="H286:H300">C286+F286-D286</f>
        <v>47600000</v>
      </c>
      <c r="I286" s="36">
        <f aca="true" t="shared" si="42" ref="I286:AB286">SUM(I287:I288)</f>
        <v>0</v>
      </c>
      <c r="J286" s="36">
        <f t="shared" si="42"/>
        <v>1680000</v>
      </c>
      <c r="K286" s="17">
        <f t="shared" si="42"/>
        <v>1680000</v>
      </c>
      <c r="L286" s="17">
        <f t="shared" si="42"/>
        <v>0</v>
      </c>
      <c r="M286" s="17">
        <f t="shared" si="42"/>
        <v>0</v>
      </c>
      <c r="N286" s="17">
        <f t="shared" si="42"/>
        <v>1725000</v>
      </c>
      <c r="O286" s="17">
        <f t="shared" si="42"/>
        <v>1725000</v>
      </c>
      <c r="P286" s="17">
        <f t="shared" si="42"/>
        <v>0</v>
      </c>
      <c r="Q286" s="17">
        <f t="shared" si="42"/>
        <v>0</v>
      </c>
      <c r="R286" s="17">
        <f t="shared" si="42"/>
        <v>1493231</v>
      </c>
      <c r="S286" s="17">
        <f t="shared" si="42"/>
        <v>1493231</v>
      </c>
      <c r="T286" s="17">
        <f t="shared" si="42"/>
        <v>0</v>
      </c>
      <c r="U286" s="17">
        <f t="shared" si="42"/>
        <v>0</v>
      </c>
      <c r="V286" s="17">
        <f t="shared" si="42"/>
        <v>3014</v>
      </c>
      <c r="W286" s="17">
        <f t="shared" si="42"/>
        <v>3014</v>
      </c>
      <c r="X286" s="17">
        <f t="shared" si="42"/>
        <v>0</v>
      </c>
      <c r="Y286" s="17">
        <f t="shared" si="42"/>
        <v>0</v>
      </c>
      <c r="Z286" s="17">
        <f t="shared" si="42"/>
        <v>502608</v>
      </c>
      <c r="AA286" s="17">
        <f t="shared" si="42"/>
        <v>502608</v>
      </c>
      <c r="AB286" s="17">
        <f t="shared" si="42"/>
        <v>0</v>
      </c>
      <c r="AC286" s="69">
        <f t="shared" si="38"/>
        <v>5403853</v>
      </c>
      <c r="AD286" s="69">
        <f t="shared" si="38"/>
        <v>5403853</v>
      </c>
      <c r="AE286" s="17">
        <f>SUM(AE287:AE288)</f>
        <v>0</v>
      </c>
      <c r="AF286" s="10">
        <f t="shared" si="34"/>
        <v>47600000</v>
      </c>
      <c r="BH286" s="148">
        <v>20000000</v>
      </c>
    </row>
    <row r="287" spans="1:60" ht="28.5" customHeight="1" hidden="1">
      <c r="A287" s="1">
        <v>3001</v>
      </c>
      <c r="B287" s="117" t="s">
        <v>266</v>
      </c>
      <c r="C287" s="120">
        <v>32200000</v>
      </c>
      <c r="D287" s="3"/>
      <c r="E287" s="68"/>
      <c r="F287" s="3"/>
      <c r="G287" s="68"/>
      <c r="H287" s="3">
        <f t="shared" si="41"/>
        <v>32200000</v>
      </c>
      <c r="I287" s="32"/>
      <c r="J287" s="32">
        <v>1680000</v>
      </c>
      <c r="K287" s="27">
        <v>1680000</v>
      </c>
      <c r="L287" s="15"/>
      <c r="M287" s="46"/>
      <c r="N287" s="48">
        <v>1725000</v>
      </c>
      <c r="O287" s="60">
        <v>1725000</v>
      </c>
      <c r="P287" s="15"/>
      <c r="Q287" s="54"/>
      <c r="R287" s="54">
        <v>1493231</v>
      </c>
      <c r="S287" s="15">
        <v>1493231</v>
      </c>
      <c r="T287" s="15"/>
      <c r="U287" s="65"/>
      <c r="V287" s="65">
        <v>3014</v>
      </c>
      <c r="W287" s="15">
        <v>3014</v>
      </c>
      <c r="X287" s="15"/>
      <c r="Y287" s="77"/>
      <c r="Z287" s="77">
        <v>500000</v>
      </c>
      <c r="AA287" s="15">
        <v>500000</v>
      </c>
      <c r="AB287" s="15"/>
      <c r="AC287" s="69">
        <f t="shared" si="38"/>
        <v>5401245</v>
      </c>
      <c r="AD287" s="69">
        <f t="shared" si="38"/>
        <v>5401245</v>
      </c>
      <c r="AE287" s="70"/>
      <c r="AF287" s="11">
        <f t="shared" si="34"/>
        <v>32200000</v>
      </c>
      <c r="BH287" s="148"/>
    </row>
    <row r="288" spans="1:60" ht="28.5" customHeight="1" hidden="1">
      <c r="A288" s="1">
        <v>3025</v>
      </c>
      <c r="B288" s="117" t="s">
        <v>267</v>
      </c>
      <c r="C288" s="120">
        <v>15400000</v>
      </c>
      <c r="D288" s="3"/>
      <c r="E288" s="68"/>
      <c r="F288" s="3"/>
      <c r="G288" s="68"/>
      <c r="H288" s="3">
        <f t="shared" si="41"/>
        <v>15400000</v>
      </c>
      <c r="I288" s="28"/>
      <c r="J288" s="28"/>
      <c r="K288" s="15"/>
      <c r="L288" s="15"/>
      <c r="M288" s="46"/>
      <c r="N288" s="47"/>
      <c r="O288" s="15"/>
      <c r="P288" s="15"/>
      <c r="Q288" s="54"/>
      <c r="R288" s="54"/>
      <c r="S288" s="15"/>
      <c r="T288" s="15"/>
      <c r="U288" s="65"/>
      <c r="V288" s="65"/>
      <c r="W288" s="15"/>
      <c r="X288" s="15"/>
      <c r="Y288" s="77"/>
      <c r="Z288" s="77">
        <v>2608</v>
      </c>
      <c r="AA288" s="15">
        <v>2608</v>
      </c>
      <c r="AB288" s="15"/>
      <c r="AC288" s="69">
        <f t="shared" si="38"/>
        <v>2608</v>
      </c>
      <c r="AD288" s="69">
        <f t="shared" si="38"/>
        <v>2608</v>
      </c>
      <c r="AE288" s="70"/>
      <c r="AF288" s="11">
        <f t="shared" si="34"/>
        <v>15400000</v>
      </c>
      <c r="BH288" s="148"/>
    </row>
    <row r="289" spans="1:60" ht="21" customHeight="1">
      <c r="A289" s="12">
        <v>3100</v>
      </c>
      <c r="B289" s="117" t="s">
        <v>268</v>
      </c>
      <c r="C289" s="120">
        <f>267313</f>
        <v>267313</v>
      </c>
      <c r="D289" s="5">
        <f>SUM(D290)</f>
        <v>0</v>
      </c>
      <c r="E289" s="67"/>
      <c r="F289" s="5">
        <f>SUM(F290)</f>
        <v>0</v>
      </c>
      <c r="G289" s="67"/>
      <c r="H289" s="5">
        <f t="shared" si="41"/>
        <v>267313</v>
      </c>
      <c r="I289" s="36">
        <f>SUM(I290)</f>
        <v>0</v>
      </c>
      <c r="J289" s="36">
        <f>SUM(J290)</f>
        <v>0</v>
      </c>
      <c r="K289" s="17">
        <f aca="true" t="shared" si="43" ref="K289:AB289">SUM(K290)</f>
        <v>0</v>
      </c>
      <c r="L289" s="17">
        <f t="shared" si="43"/>
        <v>0</v>
      </c>
      <c r="M289" s="17">
        <f t="shared" si="43"/>
        <v>0</v>
      </c>
      <c r="N289" s="17">
        <f t="shared" si="43"/>
        <v>0</v>
      </c>
      <c r="O289" s="17">
        <f t="shared" si="43"/>
        <v>0</v>
      </c>
      <c r="P289" s="17">
        <f t="shared" si="43"/>
        <v>0</v>
      </c>
      <c r="Q289" s="17">
        <f t="shared" si="43"/>
        <v>0</v>
      </c>
      <c r="R289" s="17">
        <f t="shared" si="43"/>
        <v>0</v>
      </c>
      <c r="S289" s="17">
        <f t="shared" si="43"/>
        <v>0</v>
      </c>
      <c r="T289" s="17">
        <f t="shared" si="43"/>
        <v>0</v>
      </c>
      <c r="U289" s="5">
        <f t="shared" si="43"/>
        <v>0</v>
      </c>
      <c r="V289" s="5">
        <f t="shared" si="43"/>
        <v>0</v>
      </c>
      <c r="W289" s="5">
        <f t="shared" si="43"/>
        <v>0</v>
      </c>
      <c r="X289" s="5">
        <f t="shared" si="43"/>
        <v>0</v>
      </c>
      <c r="Y289" s="5">
        <f t="shared" si="43"/>
        <v>0</v>
      </c>
      <c r="Z289" s="5">
        <f t="shared" si="43"/>
        <v>34000</v>
      </c>
      <c r="AA289" s="5">
        <f t="shared" si="43"/>
        <v>34000</v>
      </c>
      <c r="AB289" s="5">
        <f t="shared" si="43"/>
        <v>0</v>
      </c>
      <c r="AC289" s="69">
        <f t="shared" si="38"/>
        <v>34000</v>
      </c>
      <c r="AD289" s="69">
        <f t="shared" si="38"/>
        <v>34000</v>
      </c>
      <c r="AE289" s="5">
        <f>SUM(AE290)</f>
        <v>0</v>
      </c>
      <c r="AF289" s="10">
        <f t="shared" si="34"/>
        <v>267313</v>
      </c>
      <c r="BH289" s="148">
        <v>267313</v>
      </c>
    </row>
    <row r="290" spans="1:60" ht="28.5" customHeight="1" hidden="1">
      <c r="A290" s="1">
        <v>3101</v>
      </c>
      <c r="B290" s="117" t="s">
        <v>269</v>
      </c>
      <c r="C290" s="120">
        <v>267313</v>
      </c>
      <c r="D290" s="3"/>
      <c r="E290" s="68"/>
      <c r="F290" s="3"/>
      <c r="G290" s="68"/>
      <c r="H290" s="3">
        <f>C290+F290-D290</f>
        <v>267313</v>
      </c>
      <c r="I290" s="28"/>
      <c r="J290" s="28"/>
      <c r="K290" s="15"/>
      <c r="L290" s="15"/>
      <c r="M290" s="46"/>
      <c r="N290" s="47"/>
      <c r="O290" s="15"/>
      <c r="P290" s="15"/>
      <c r="Q290" s="54"/>
      <c r="R290" s="54"/>
      <c r="S290" s="15"/>
      <c r="T290" s="15"/>
      <c r="U290" s="65"/>
      <c r="V290" s="65"/>
      <c r="W290" s="15"/>
      <c r="X290" s="15"/>
      <c r="Y290" s="77"/>
      <c r="Z290" s="77">
        <v>34000</v>
      </c>
      <c r="AA290" s="15">
        <v>34000</v>
      </c>
      <c r="AB290" s="15"/>
      <c r="AC290" s="69">
        <f t="shared" si="38"/>
        <v>34000</v>
      </c>
      <c r="AD290" s="69">
        <f t="shared" si="38"/>
        <v>34000</v>
      </c>
      <c r="AE290" s="70"/>
      <c r="AF290" s="11">
        <f t="shared" si="34"/>
        <v>267313</v>
      </c>
      <c r="BH290" s="148"/>
    </row>
    <row r="291" spans="1:60" ht="18.75" customHeight="1">
      <c r="A291" s="12">
        <v>3200</v>
      </c>
      <c r="B291" s="117" t="s">
        <v>68</v>
      </c>
      <c r="C291" s="120">
        <f aca="true" t="shared" si="44" ref="C291:AB291">SUM(C292)</f>
        <v>0</v>
      </c>
      <c r="D291" s="5"/>
      <c r="E291" s="67"/>
      <c r="F291" s="5"/>
      <c r="G291" s="67"/>
      <c r="H291" s="5">
        <f t="shared" si="41"/>
        <v>0</v>
      </c>
      <c r="I291" s="30">
        <f>SUM(I292)</f>
        <v>0</v>
      </c>
      <c r="J291" s="30">
        <f>SUM(J292)</f>
        <v>0</v>
      </c>
      <c r="K291" s="5">
        <f t="shared" si="44"/>
        <v>0</v>
      </c>
      <c r="L291" s="5">
        <f t="shared" si="44"/>
        <v>0</v>
      </c>
      <c r="M291" s="5">
        <f t="shared" si="44"/>
        <v>0</v>
      </c>
      <c r="N291" s="5">
        <f t="shared" si="44"/>
        <v>0</v>
      </c>
      <c r="O291" s="5">
        <f t="shared" si="44"/>
        <v>0</v>
      </c>
      <c r="P291" s="5">
        <f t="shared" si="44"/>
        <v>0</v>
      </c>
      <c r="Q291" s="5">
        <f t="shared" si="44"/>
        <v>0</v>
      </c>
      <c r="R291" s="5">
        <f t="shared" si="44"/>
        <v>0</v>
      </c>
      <c r="S291" s="5">
        <f t="shared" si="44"/>
        <v>0</v>
      </c>
      <c r="T291" s="5">
        <f t="shared" si="44"/>
        <v>0</v>
      </c>
      <c r="U291" s="5">
        <f t="shared" si="44"/>
        <v>0</v>
      </c>
      <c r="V291" s="5">
        <f t="shared" si="44"/>
        <v>0</v>
      </c>
      <c r="W291" s="5">
        <f t="shared" si="44"/>
        <v>0</v>
      </c>
      <c r="X291" s="5">
        <f t="shared" si="44"/>
        <v>0</v>
      </c>
      <c r="Y291" s="5">
        <f t="shared" si="44"/>
        <v>0</v>
      </c>
      <c r="Z291" s="5">
        <f t="shared" si="44"/>
        <v>0</v>
      </c>
      <c r="AA291" s="5">
        <f t="shared" si="44"/>
        <v>0</v>
      </c>
      <c r="AB291" s="5">
        <f t="shared" si="44"/>
        <v>0</v>
      </c>
      <c r="AC291" s="69">
        <f t="shared" si="38"/>
        <v>0</v>
      </c>
      <c r="AD291" s="69">
        <f t="shared" si="38"/>
        <v>0</v>
      </c>
      <c r="AE291" s="5">
        <f>SUM(AE292)</f>
        <v>0</v>
      </c>
      <c r="AF291" s="10">
        <f t="shared" si="34"/>
        <v>0</v>
      </c>
      <c r="BH291" s="148">
        <v>0</v>
      </c>
    </row>
    <row r="292" spans="1:60" ht="28.5" customHeight="1" hidden="1">
      <c r="A292" s="1">
        <v>3200</v>
      </c>
      <c r="B292" s="117" t="s">
        <v>68</v>
      </c>
      <c r="C292" s="120">
        <v>0</v>
      </c>
      <c r="D292" s="3"/>
      <c r="E292" s="68"/>
      <c r="F292" s="3"/>
      <c r="G292" s="68"/>
      <c r="H292" s="3">
        <f>C292+F292-D292</f>
        <v>0</v>
      </c>
      <c r="I292" s="28"/>
      <c r="J292" s="28"/>
      <c r="K292" s="26"/>
      <c r="L292" s="15"/>
      <c r="M292" s="46"/>
      <c r="N292" s="47"/>
      <c r="O292" s="26"/>
      <c r="P292" s="15"/>
      <c r="Q292" s="54"/>
      <c r="R292" s="54"/>
      <c r="S292" s="15"/>
      <c r="T292" s="15"/>
      <c r="U292" s="65"/>
      <c r="V292" s="65"/>
      <c r="W292" s="15"/>
      <c r="X292" s="15"/>
      <c r="Y292" s="77"/>
      <c r="Z292" s="77"/>
      <c r="AA292" s="15"/>
      <c r="AB292" s="15"/>
      <c r="AC292" s="69">
        <f t="shared" si="38"/>
        <v>0</v>
      </c>
      <c r="AD292" s="69">
        <f t="shared" si="38"/>
        <v>0</v>
      </c>
      <c r="AE292" s="70"/>
      <c r="AF292" s="11">
        <f t="shared" si="34"/>
        <v>0</v>
      </c>
      <c r="BH292" s="148"/>
    </row>
    <row r="293" spans="1:60" ht="28.5" customHeight="1" hidden="1">
      <c r="A293" s="12">
        <v>3500</v>
      </c>
      <c r="B293" s="117" t="s">
        <v>270</v>
      </c>
      <c r="C293" s="120">
        <f>SUM(C294:C302)</f>
        <v>25568496</v>
      </c>
      <c r="D293" s="5">
        <f>SUM(D294:D302)</f>
        <v>188874</v>
      </c>
      <c r="E293" s="67"/>
      <c r="F293" s="5">
        <f>SUM(F294:F302)</f>
        <v>298070</v>
      </c>
      <c r="G293" s="67"/>
      <c r="H293" s="5">
        <f aca="true" t="shared" si="45" ref="H293:AB293">SUM(H294:H302)</f>
        <v>16456855</v>
      </c>
      <c r="I293" s="5">
        <f t="shared" si="45"/>
        <v>0</v>
      </c>
      <c r="J293" s="5">
        <f t="shared" si="45"/>
        <v>404737</v>
      </c>
      <c r="K293" s="5">
        <f t="shared" si="45"/>
        <v>156617</v>
      </c>
      <c r="L293" s="5">
        <f t="shared" si="45"/>
        <v>0</v>
      </c>
      <c r="M293" s="5">
        <f t="shared" si="45"/>
        <v>0</v>
      </c>
      <c r="N293" s="5">
        <f t="shared" si="45"/>
        <v>342097</v>
      </c>
      <c r="O293" s="5">
        <f t="shared" si="45"/>
        <v>3802</v>
      </c>
      <c r="P293" s="5">
        <f t="shared" si="45"/>
        <v>3802</v>
      </c>
      <c r="Q293" s="5">
        <f t="shared" si="45"/>
        <v>0</v>
      </c>
      <c r="R293" s="5">
        <f t="shared" si="45"/>
        <v>23103</v>
      </c>
      <c r="S293" s="5">
        <f t="shared" si="45"/>
        <v>18417</v>
      </c>
      <c r="T293" s="5">
        <f t="shared" si="45"/>
        <v>4938</v>
      </c>
      <c r="U293" s="5">
        <f t="shared" si="45"/>
        <v>0</v>
      </c>
      <c r="V293" s="5">
        <f t="shared" si="45"/>
        <v>15140</v>
      </c>
      <c r="W293" s="5">
        <f t="shared" si="45"/>
        <v>-202</v>
      </c>
      <c r="X293" s="5">
        <f t="shared" si="45"/>
        <v>0</v>
      </c>
      <c r="Y293" s="5">
        <f t="shared" si="45"/>
        <v>0</v>
      </c>
      <c r="Z293" s="5">
        <f t="shared" si="45"/>
        <v>258797</v>
      </c>
      <c r="AA293" s="5">
        <f t="shared" si="45"/>
        <v>148674</v>
      </c>
      <c r="AB293" s="5">
        <f t="shared" si="45"/>
        <v>0</v>
      </c>
      <c r="AC293" s="69">
        <f t="shared" si="38"/>
        <v>327308</v>
      </c>
      <c r="AD293" s="69">
        <f t="shared" si="38"/>
        <v>1052614</v>
      </c>
      <c r="AE293" s="5">
        <f>SUM(AE294:AE302)</f>
        <v>94</v>
      </c>
      <c r="AF293" s="10">
        <f>H293+AD293-AC293+AE293</f>
        <v>17182255</v>
      </c>
      <c r="BH293" s="148"/>
    </row>
    <row r="294" spans="1:60" ht="21" customHeight="1">
      <c r="A294" s="1">
        <v>3510</v>
      </c>
      <c r="B294" s="117" t="s">
        <v>271</v>
      </c>
      <c r="C294" s="120">
        <v>825214</v>
      </c>
      <c r="D294" s="3"/>
      <c r="E294" s="68"/>
      <c r="F294" s="3"/>
      <c r="G294" s="68"/>
      <c r="H294" s="3">
        <f t="shared" si="41"/>
        <v>825214</v>
      </c>
      <c r="I294" s="29"/>
      <c r="J294" s="29"/>
      <c r="K294" s="15"/>
      <c r="L294" s="15"/>
      <c r="M294" s="46"/>
      <c r="N294" s="46">
        <v>3802</v>
      </c>
      <c r="O294" s="15">
        <v>3802</v>
      </c>
      <c r="P294" s="15"/>
      <c r="Q294" s="54"/>
      <c r="R294" s="54">
        <v>11983</v>
      </c>
      <c r="S294" s="15">
        <v>11983</v>
      </c>
      <c r="T294" s="15"/>
      <c r="U294" s="65"/>
      <c r="V294" s="65"/>
      <c r="W294" s="15"/>
      <c r="X294" s="15"/>
      <c r="Y294" s="77"/>
      <c r="Z294" s="77">
        <v>18000</v>
      </c>
      <c r="AA294" s="15">
        <v>18000</v>
      </c>
      <c r="AB294" s="15"/>
      <c r="AC294" s="69">
        <f t="shared" si="38"/>
        <v>33785</v>
      </c>
      <c r="AD294" s="69">
        <f t="shared" si="38"/>
        <v>33785</v>
      </c>
      <c r="AE294" s="70"/>
      <c r="AF294" s="11">
        <f t="shared" si="34"/>
        <v>825214</v>
      </c>
      <c r="BH294" s="148">
        <v>825214</v>
      </c>
    </row>
    <row r="295" spans="1:60" ht="21" customHeight="1">
      <c r="A295" s="1"/>
      <c r="B295" s="117" t="s">
        <v>259</v>
      </c>
      <c r="C295" s="120">
        <f>C296+C297+C300</f>
        <v>2989930</v>
      </c>
      <c r="D295" s="3"/>
      <c r="E295" s="68"/>
      <c r="F295" s="3"/>
      <c r="G295" s="68"/>
      <c r="H295" s="3"/>
      <c r="I295" s="29"/>
      <c r="J295" s="29"/>
      <c r="K295" s="15"/>
      <c r="L295" s="15"/>
      <c r="M295" s="46"/>
      <c r="N295" s="46"/>
      <c r="O295" s="15"/>
      <c r="P295" s="15"/>
      <c r="Q295" s="54"/>
      <c r="R295" s="54"/>
      <c r="S295" s="15"/>
      <c r="T295" s="15"/>
      <c r="U295" s="65"/>
      <c r="V295" s="65"/>
      <c r="W295" s="15"/>
      <c r="X295" s="15"/>
      <c r="Y295" s="77"/>
      <c r="Z295" s="77"/>
      <c r="AA295" s="15"/>
      <c r="AB295" s="15"/>
      <c r="AC295" s="69"/>
      <c r="AD295" s="69"/>
      <c r="AE295" s="70"/>
      <c r="AF295" s="11"/>
      <c r="BH295" s="148">
        <v>-138084</v>
      </c>
    </row>
    <row r="296" spans="1:60" ht="28.5" customHeight="1" hidden="1">
      <c r="A296" s="1">
        <v>3540</v>
      </c>
      <c r="B296" s="117" t="s">
        <v>272</v>
      </c>
      <c r="C296" s="120">
        <v>3150289</v>
      </c>
      <c r="D296" s="3"/>
      <c r="E296" s="68"/>
      <c r="F296" s="3"/>
      <c r="G296" s="68"/>
      <c r="H296" s="3">
        <f t="shared" si="41"/>
        <v>3150289</v>
      </c>
      <c r="I296" s="28"/>
      <c r="J296" s="28"/>
      <c r="K296" s="15"/>
      <c r="L296" s="15"/>
      <c r="M296" s="46"/>
      <c r="N296" s="47"/>
      <c r="O296" s="15"/>
      <c r="P296" s="15"/>
      <c r="Q296" s="54"/>
      <c r="R296" s="54">
        <v>116</v>
      </c>
      <c r="S296" s="15">
        <v>116</v>
      </c>
      <c r="T296" s="15"/>
      <c r="U296" s="65"/>
      <c r="V296" s="65"/>
      <c r="W296" s="15"/>
      <c r="X296" s="15"/>
      <c r="Y296" s="77"/>
      <c r="Z296" s="77"/>
      <c r="AA296" s="15"/>
      <c r="AB296" s="15"/>
      <c r="AC296" s="69">
        <f t="shared" si="38"/>
        <v>116</v>
      </c>
      <c r="AD296" s="69">
        <f t="shared" si="38"/>
        <v>116</v>
      </c>
      <c r="AE296" s="70"/>
      <c r="AF296" s="11">
        <f t="shared" si="34"/>
        <v>3150289</v>
      </c>
      <c r="BH296" s="148"/>
    </row>
    <row r="297" spans="1:60" ht="28.5" customHeight="1" hidden="1">
      <c r="A297" s="1">
        <v>3561</v>
      </c>
      <c r="B297" s="117" t="s">
        <v>273</v>
      </c>
      <c r="C297" s="120">
        <v>-160369</v>
      </c>
      <c r="D297" s="111"/>
      <c r="E297" s="110"/>
      <c r="F297" s="111">
        <v>47878</v>
      </c>
      <c r="G297" s="110" t="s">
        <v>368</v>
      </c>
      <c r="H297" s="3">
        <f t="shared" si="41"/>
        <v>-112491</v>
      </c>
      <c r="I297" s="28"/>
      <c r="J297" s="28">
        <v>4962</v>
      </c>
      <c r="K297" s="26">
        <v>4962</v>
      </c>
      <c r="L297" s="15"/>
      <c r="M297" s="46"/>
      <c r="N297" s="47"/>
      <c r="O297" s="26"/>
      <c r="P297" s="15"/>
      <c r="Q297" s="54"/>
      <c r="R297" s="54"/>
      <c r="S297" s="15"/>
      <c r="T297" s="15"/>
      <c r="U297" s="65"/>
      <c r="V297" s="65"/>
      <c r="W297" s="15"/>
      <c r="X297" s="15"/>
      <c r="Y297" s="77"/>
      <c r="Z297" s="77"/>
      <c r="AA297" s="15"/>
      <c r="AB297" s="15"/>
      <c r="AC297" s="69">
        <f t="shared" si="38"/>
        <v>4962</v>
      </c>
      <c r="AD297" s="69">
        <f t="shared" si="38"/>
        <v>4962</v>
      </c>
      <c r="AE297" s="70"/>
      <c r="AF297" s="11">
        <f t="shared" si="34"/>
        <v>-112491</v>
      </c>
      <c r="BH297" s="148"/>
    </row>
    <row r="298" spans="1:60" ht="28.5" customHeight="1">
      <c r="A298" s="1"/>
      <c r="B298" s="117" t="s">
        <v>274</v>
      </c>
      <c r="C298" s="120">
        <v>6230907</v>
      </c>
      <c r="D298" s="373"/>
      <c r="E298" s="374"/>
      <c r="F298" s="111"/>
      <c r="G298" s="110"/>
      <c r="H298" s="3"/>
      <c r="I298" s="28"/>
      <c r="J298" s="28"/>
      <c r="K298" s="26"/>
      <c r="L298" s="15"/>
      <c r="M298" s="46"/>
      <c r="N298" s="47"/>
      <c r="O298" s="26"/>
      <c r="P298" s="15"/>
      <c r="Q298" s="54"/>
      <c r="R298" s="54"/>
      <c r="S298" s="15"/>
      <c r="T298" s="15"/>
      <c r="U298" s="65"/>
      <c r="V298" s="65"/>
      <c r="W298" s="15"/>
      <c r="X298" s="15"/>
      <c r="Y298" s="77"/>
      <c r="Z298" s="77"/>
      <c r="AA298" s="15"/>
      <c r="AB298" s="15"/>
      <c r="AC298" s="69"/>
      <c r="AD298" s="69"/>
      <c r="AE298" s="70"/>
      <c r="AF298" s="11"/>
      <c r="BH298" s="148">
        <v>2247363</v>
      </c>
    </row>
    <row r="299" spans="1:60" ht="23.25" customHeight="1">
      <c r="A299" s="1">
        <v>3580</v>
      </c>
      <c r="B299" s="117" t="s">
        <v>453</v>
      </c>
      <c r="C299" s="120">
        <f>6026082</f>
        <v>6026082</v>
      </c>
      <c r="D299" s="108">
        <f>51833</f>
        <v>51833</v>
      </c>
      <c r="E299" s="115" t="s">
        <v>53</v>
      </c>
      <c r="F299" s="111">
        <f>27668+12489+22723+37298+48020+16995</f>
        <v>165193</v>
      </c>
      <c r="G299" s="110" t="s">
        <v>369</v>
      </c>
      <c r="H299" s="3">
        <f t="shared" si="41"/>
        <v>6139442</v>
      </c>
      <c r="I299" s="29"/>
      <c r="J299" s="29">
        <v>215949</v>
      </c>
      <c r="K299" s="26">
        <f>-(-121920-62807-10670+17012+27584+11370+105126+1388-107249)</f>
        <v>140166</v>
      </c>
      <c r="L299" s="15"/>
      <c r="M299" s="46"/>
      <c r="N299" s="46">
        <v>68035</v>
      </c>
      <c r="O299" s="26"/>
      <c r="P299" s="15">
        <v>3802</v>
      </c>
      <c r="Q299" s="54"/>
      <c r="R299" s="54">
        <v>2825</v>
      </c>
      <c r="S299" s="15">
        <v>2825</v>
      </c>
      <c r="T299" s="15">
        <f>4938</f>
        <v>4938</v>
      </c>
      <c r="U299" s="65"/>
      <c r="V299" s="65"/>
      <c r="W299" s="15"/>
      <c r="X299" s="15"/>
      <c r="Y299" s="77"/>
      <c r="Z299" s="77">
        <f>102963+(137834-16117)</f>
        <v>224680</v>
      </c>
      <c r="AA299" s="15">
        <f>224683-((49692-9976)+16995+37298)</f>
        <v>130674</v>
      </c>
      <c r="AB299" s="15"/>
      <c r="AC299" s="69">
        <f t="shared" si="38"/>
        <v>273665</v>
      </c>
      <c r="AD299" s="69">
        <f t="shared" si="38"/>
        <v>520229</v>
      </c>
      <c r="AE299" s="70"/>
      <c r="AF299" s="11">
        <f t="shared" si="34"/>
        <v>6386006</v>
      </c>
      <c r="BH299" s="148">
        <f>4289377</f>
        <v>4289377</v>
      </c>
    </row>
    <row r="300" spans="1:60" ht="28.5" customHeight="1" hidden="1">
      <c r="A300" s="1">
        <v>3589</v>
      </c>
      <c r="B300" s="117" t="s">
        <v>275</v>
      </c>
      <c r="C300" s="120">
        <v>10</v>
      </c>
      <c r="D300" s="3"/>
      <c r="E300" s="68"/>
      <c r="F300" s="3"/>
      <c r="G300" s="68"/>
      <c r="H300" s="3">
        <f t="shared" si="41"/>
        <v>10</v>
      </c>
      <c r="I300" s="28"/>
      <c r="J300" s="28"/>
      <c r="K300" s="26"/>
      <c r="L300" s="15"/>
      <c r="M300" s="46"/>
      <c r="N300" s="47"/>
      <c r="O300" s="26"/>
      <c r="P300" s="15"/>
      <c r="Q300" s="54"/>
      <c r="R300" s="54"/>
      <c r="S300" s="15"/>
      <c r="T300" s="15"/>
      <c r="U300" s="65"/>
      <c r="V300" s="65">
        <v>-202</v>
      </c>
      <c r="W300" s="15">
        <v>-202</v>
      </c>
      <c r="X300" s="15"/>
      <c r="Y300" s="77"/>
      <c r="Z300" s="77"/>
      <c r="AA300" s="15"/>
      <c r="AB300" s="15"/>
      <c r="AC300" s="69">
        <f t="shared" si="38"/>
        <v>-202</v>
      </c>
      <c r="AD300" s="69">
        <f t="shared" si="38"/>
        <v>-202</v>
      </c>
      <c r="AE300" s="70"/>
      <c r="AF300" s="11">
        <f t="shared" si="34"/>
        <v>10</v>
      </c>
      <c r="BH300" s="157"/>
    </row>
    <row r="301" spans="1:60" ht="28.5" customHeight="1" hidden="1">
      <c r="A301" s="1"/>
      <c r="B301" s="117" t="s">
        <v>523</v>
      </c>
      <c r="C301" s="120"/>
      <c r="D301" s="3"/>
      <c r="E301" s="68"/>
      <c r="F301" s="3"/>
      <c r="G301" s="68"/>
      <c r="H301" s="3"/>
      <c r="I301" s="28"/>
      <c r="J301" s="29">
        <v>11489</v>
      </c>
      <c r="K301" s="26">
        <v>11489</v>
      </c>
      <c r="L301" s="15"/>
      <c r="M301" s="46"/>
      <c r="N301" s="47"/>
      <c r="O301" s="26"/>
      <c r="P301" s="15"/>
      <c r="Q301" s="54"/>
      <c r="R301" s="54">
        <v>305</v>
      </c>
      <c r="S301" s="15">
        <v>305</v>
      </c>
      <c r="T301" s="15"/>
      <c r="U301" s="65"/>
      <c r="V301" s="65"/>
      <c r="W301" s="15"/>
      <c r="X301" s="15"/>
      <c r="Y301" s="77"/>
      <c r="Z301" s="77"/>
      <c r="AA301" s="15"/>
      <c r="AB301" s="15"/>
      <c r="AC301" s="69">
        <f t="shared" si="38"/>
        <v>11794</v>
      </c>
      <c r="AD301" s="69">
        <f t="shared" si="38"/>
        <v>11794</v>
      </c>
      <c r="AE301" s="70"/>
      <c r="AF301" s="11">
        <f t="shared" si="34"/>
        <v>0</v>
      </c>
      <c r="BH301" s="157"/>
    </row>
    <row r="302" spans="1:60" ht="25.5" customHeight="1" hidden="1">
      <c r="A302" s="1">
        <v>3599</v>
      </c>
      <c r="B302" s="117" t="s">
        <v>276</v>
      </c>
      <c r="C302" s="133">
        <v>6506433</v>
      </c>
      <c r="D302" s="112">
        <f>118133+14744+4164</f>
        <v>137041</v>
      </c>
      <c r="E302" s="113" t="s">
        <v>9</v>
      </c>
      <c r="F302" s="114">
        <v>84999</v>
      </c>
      <c r="G302" s="113" t="s">
        <v>16</v>
      </c>
      <c r="H302" s="3">
        <f>C302+F302-D302</f>
        <v>6454391</v>
      </c>
      <c r="I302" s="29"/>
      <c r="J302" s="29">
        <v>172337</v>
      </c>
      <c r="K302" s="26"/>
      <c r="L302" s="15"/>
      <c r="M302" s="46"/>
      <c r="N302" s="46">
        <v>270260</v>
      </c>
      <c r="O302" s="26"/>
      <c r="P302" s="15"/>
      <c r="Q302" s="54"/>
      <c r="R302" s="54">
        <v>7874</v>
      </c>
      <c r="S302" s="15">
        <v>3188</v>
      </c>
      <c r="T302" s="15"/>
      <c r="U302" s="65"/>
      <c r="V302" s="65">
        <v>15342</v>
      </c>
      <c r="W302" s="15"/>
      <c r="X302" s="15"/>
      <c r="Y302" s="77"/>
      <c r="Z302" s="77">
        <f>16117</f>
        <v>16117</v>
      </c>
      <c r="AA302" s="15"/>
      <c r="AB302" s="15"/>
      <c r="AC302" s="69">
        <f t="shared" si="38"/>
        <v>3188</v>
      </c>
      <c r="AD302" s="69">
        <f t="shared" si="38"/>
        <v>481930</v>
      </c>
      <c r="AE302" s="70">
        <v>94</v>
      </c>
      <c r="AF302" s="11">
        <f>H302+AD302-AC302+AE302</f>
        <v>6933227</v>
      </c>
      <c r="BH302" s="157"/>
    </row>
    <row r="303" spans="1:60" ht="20.25" customHeight="1">
      <c r="A303" s="14"/>
      <c r="B303" s="129" t="s">
        <v>277</v>
      </c>
      <c r="C303" s="130">
        <f>C291+C289+C286+C294+C295+C299+C298</f>
        <v>63939446</v>
      </c>
      <c r="D303" s="9">
        <f>D293+D291+D289+D286</f>
        <v>188874</v>
      </c>
      <c r="E303" s="89"/>
      <c r="F303" s="9">
        <f>F293+F291+F289+F286</f>
        <v>298070</v>
      </c>
      <c r="G303" s="89"/>
      <c r="H303" s="9">
        <f>H293+H291+H289+H286</f>
        <v>64324168</v>
      </c>
      <c r="I303" s="9">
        <f aca="true" t="shared" si="46" ref="I303:AB303">I293+I291+I289+I286</f>
        <v>0</v>
      </c>
      <c r="J303" s="9">
        <f>J293+J291+J289+J286</f>
        <v>2084737</v>
      </c>
      <c r="K303" s="9">
        <f>K293+K291+K289+K286</f>
        <v>1836617</v>
      </c>
      <c r="L303" s="9">
        <f t="shared" si="46"/>
        <v>0</v>
      </c>
      <c r="M303" s="9">
        <f t="shared" si="46"/>
        <v>0</v>
      </c>
      <c r="N303" s="9">
        <f t="shared" si="46"/>
        <v>2067097</v>
      </c>
      <c r="O303" s="9">
        <f t="shared" si="46"/>
        <v>1728802</v>
      </c>
      <c r="P303" s="9">
        <f t="shared" si="46"/>
        <v>3802</v>
      </c>
      <c r="Q303" s="9">
        <f t="shared" si="46"/>
        <v>0</v>
      </c>
      <c r="R303" s="9">
        <f>R293+R291+R289+R286</f>
        <v>1516334</v>
      </c>
      <c r="S303" s="9">
        <f t="shared" si="46"/>
        <v>1511648</v>
      </c>
      <c r="T303" s="9">
        <f t="shared" si="46"/>
        <v>4938</v>
      </c>
      <c r="U303" s="9">
        <f t="shared" si="46"/>
        <v>0</v>
      </c>
      <c r="V303" s="9">
        <f t="shared" si="46"/>
        <v>18154</v>
      </c>
      <c r="W303" s="9">
        <f t="shared" si="46"/>
        <v>2812</v>
      </c>
      <c r="X303" s="9">
        <f t="shared" si="46"/>
        <v>0</v>
      </c>
      <c r="Y303" s="9">
        <f t="shared" si="46"/>
        <v>0</v>
      </c>
      <c r="Z303" s="9">
        <f t="shared" si="46"/>
        <v>795405</v>
      </c>
      <c r="AA303" s="9">
        <f t="shared" si="46"/>
        <v>685282</v>
      </c>
      <c r="AB303" s="9">
        <f t="shared" si="46"/>
        <v>0</v>
      </c>
      <c r="AC303" s="69">
        <f t="shared" si="38"/>
        <v>5765161</v>
      </c>
      <c r="AD303" s="69">
        <f t="shared" si="38"/>
        <v>6490467</v>
      </c>
      <c r="AE303" s="9">
        <f>AE293+AE291+AE289+AE286</f>
        <v>94</v>
      </c>
      <c r="AF303" s="40">
        <f>H303+AD303-AC303+AE303</f>
        <v>65049568</v>
      </c>
      <c r="BH303" s="130">
        <f>BH291+BH289+BH286+BH294+BH295+BH299+BH298</f>
        <v>27491183</v>
      </c>
    </row>
    <row r="304" spans="1:60" ht="15.75" customHeight="1">
      <c r="A304" s="14"/>
      <c r="B304" s="129" t="s">
        <v>443</v>
      </c>
      <c r="C304" s="130">
        <v>0</v>
      </c>
      <c r="D304" s="9"/>
      <c r="E304" s="89"/>
      <c r="F304" s="9"/>
      <c r="G304" s="89"/>
      <c r="H304" s="9"/>
      <c r="I304" s="37"/>
      <c r="J304" s="37"/>
      <c r="K304" s="19"/>
      <c r="L304" s="53">
        <v>59661</v>
      </c>
      <c r="M304" s="19"/>
      <c r="N304" s="19"/>
      <c r="O304" s="19"/>
      <c r="P304" s="53"/>
      <c r="Q304" s="53"/>
      <c r="R304" s="53"/>
      <c r="S304" s="53"/>
      <c r="T304" s="53"/>
      <c r="U304" s="53"/>
      <c r="V304" s="53"/>
      <c r="W304" s="53"/>
      <c r="X304" s="53"/>
      <c r="Y304" s="64"/>
      <c r="Z304" s="64"/>
      <c r="AA304" s="53"/>
      <c r="AB304" s="53">
        <f>795405-177967</f>
        <v>617438</v>
      </c>
      <c r="AC304" s="69">
        <f t="shared" si="38"/>
        <v>0</v>
      </c>
      <c r="AD304" s="69">
        <f t="shared" si="38"/>
        <v>677099</v>
      </c>
      <c r="AE304" s="9"/>
      <c r="AF304" s="40">
        <f>H304+AD304-AC304</f>
        <v>677099</v>
      </c>
      <c r="BH304" s="375">
        <v>0</v>
      </c>
    </row>
    <row r="305" spans="1:60" ht="19.5" customHeight="1">
      <c r="A305" s="14"/>
      <c r="B305" s="129" t="s">
        <v>278</v>
      </c>
      <c r="C305" s="130">
        <f>C303+C283+C304</f>
        <v>1046115035</v>
      </c>
      <c r="D305" s="9">
        <f>D303+D283+D304</f>
        <v>9065030</v>
      </c>
      <c r="E305" s="9"/>
      <c r="F305" s="9">
        <f>F303+F283+F304</f>
        <v>1866995</v>
      </c>
      <c r="G305" s="9"/>
      <c r="H305" s="9">
        <f aca="true" t="shared" si="47" ref="H305:AB305">H303+H283+H304</f>
        <v>966645605</v>
      </c>
      <c r="I305" s="9">
        <f t="shared" si="47"/>
        <v>0</v>
      </c>
      <c r="J305" s="9">
        <f t="shared" si="47"/>
        <v>8456366</v>
      </c>
      <c r="K305" s="9">
        <f t="shared" si="47"/>
        <v>2314003</v>
      </c>
      <c r="L305" s="9">
        <f t="shared" si="47"/>
        <v>59661</v>
      </c>
      <c r="M305" s="9">
        <f t="shared" si="47"/>
        <v>0</v>
      </c>
      <c r="N305" s="9">
        <f t="shared" si="47"/>
        <v>8707686</v>
      </c>
      <c r="O305" s="9">
        <f t="shared" si="47"/>
        <v>2196632</v>
      </c>
      <c r="P305" s="9">
        <f t="shared" si="47"/>
        <v>3802</v>
      </c>
      <c r="Q305" s="9">
        <f t="shared" si="47"/>
        <v>0</v>
      </c>
      <c r="R305" s="9">
        <f t="shared" si="47"/>
        <v>6330969</v>
      </c>
      <c r="S305" s="9">
        <f t="shared" si="47"/>
        <v>4630848</v>
      </c>
      <c r="T305" s="9">
        <f t="shared" si="47"/>
        <v>4938</v>
      </c>
      <c r="U305" s="9">
        <f t="shared" si="47"/>
        <v>0</v>
      </c>
      <c r="V305" s="9">
        <f t="shared" si="47"/>
        <v>70984138</v>
      </c>
      <c r="W305" s="9">
        <f t="shared" si="47"/>
        <v>71292170</v>
      </c>
      <c r="X305" s="9">
        <f t="shared" si="47"/>
        <v>0</v>
      </c>
      <c r="Y305" s="9">
        <f t="shared" si="47"/>
        <v>0</v>
      </c>
      <c r="Z305" s="9">
        <f t="shared" si="47"/>
        <v>841752</v>
      </c>
      <c r="AA305" s="9">
        <f t="shared" si="47"/>
        <v>685282</v>
      </c>
      <c r="AB305" s="9">
        <f t="shared" si="47"/>
        <v>617438</v>
      </c>
      <c r="AC305" s="69">
        <f t="shared" si="38"/>
        <v>81118935</v>
      </c>
      <c r="AD305" s="69">
        <f t="shared" si="38"/>
        <v>96006750</v>
      </c>
      <c r="AE305" s="9">
        <f>AE303+AE283+AE304</f>
        <v>94</v>
      </c>
      <c r="AF305" s="40">
        <f>H305+AD305-AC305+AE305</f>
        <v>981533514</v>
      </c>
      <c r="AZ305" s="138"/>
      <c r="BA305" s="138"/>
      <c r="BH305" s="130">
        <f>BH303+BH283+BH304</f>
        <v>353220233</v>
      </c>
    </row>
    <row r="306" spans="2:3" ht="28.5" customHeight="1">
      <c r="B306" s="161" t="s">
        <v>447</v>
      </c>
      <c r="C306" s="311" t="s">
        <v>449</v>
      </c>
    </row>
    <row r="307" spans="2:3" ht="28.5" customHeight="1">
      <c r="B307" s="161" t="s">
        <v>448</v>
      </c>
      <c r="C307" s="311" t="s">
        <v>450</v>
      </c>
    </row>
  </sheetData>
  <mergeCells count="18">
    <mergeCell ref="A4:A5"/>
    <mergeCell ref="B4:B5"/>
    <mergeCell ref="D4:G4"/>
    <mergeCell ref="I4:J4"/>
    <mergeCell ref="C4:C5"/>
    <mergeCell ref="K4:L4"/>
    <mergeCell ref="M4:N4"/>
    <mergeCell ref="O4:P4"/>
    <mergeCell ref="Q4:R4"/>
    <mergeCell ref="S4:T4"/>
    <mergeCell ref="U4:V4"/>
    <mergeCell ref="W4:X4"/>
    <mergeCell ref="Y4:Z4"/>
    <mergeCell ref="BH4:BH5"/>
    <mergeCell ref="AA4:AB4"/>
    <mergeCell ref="AC4:AD4"/>
    <mergeCell ref="AE4:AE5"/>
    <mergeCell ref="AF4:AF5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9"/>
  <sheetViews>
    <sheetView workbookViewId="0" topLeftCell="B127">
      <selection activeCell="AY55" sqref="AY55"/>
    </sheetView>
  </sheetViews>
  <sheetFormatPr defaultColWidth="9.00390625" defaultRowHeight="28.5" customHeight="1"/>
  <cols>
    <col min="1" max="1" width="5.375" style="137" hidden="1" customWidth="1"/>
    <col min="2" max="2" width="51.75390625" style="184" customWidth="1"/>
    <col min="3" max="3" width="17.875" style="189" customWidth="1"/>
    <col min="4" max="4" width="13.00390625" style="98" hidden="1" customWidth="1"/>
    <col min="5" max="5" width="17.00390625" style="98" hidden="1" customWidth="1"/>
    <col min="6" max="6" width="12.00390625" style="98" hidden="1" customWidth="1"/>
    <col min="7" max="7" width="20.625" style="98" hidden="1" customWidth="1"/>
    <col min="8" max="8" width="17.75390625" style="98" hidden="1" customWidth="1"/>
    <col min="9" max="9" width="13.00390625" style="98" hidden="1" customWidth="1"/>
    <col min="10" max="10" width="12.125" style="98" hidden="1" customWidth="1"/>
    <col min="11" max="11" width="12.875" style="98" hidden="1" customWidth="1"/>
    <col min="12" max="12" width="13.625" style="98" hidden="1" customWidth="1"/>
    <col min="13" max="14" width="12.875" style="137" hidden="1" customWidth="1"/>
    <col min="15" max="24" width="12.875" style="138" hidden="1" customWidth="1"/>
    <col min="25" max="26" width="12.875" style="139" hidden="1" customWidth="1"/>
    <col min="27" max="28" width="12.875" style="138" hidden="1" customWidth="1"/>
    <col min="29" max="30" width="12.875" style="137" hidden="1" customWidth="1"/>
    <col min="31" max="31" width="16.00390625" style="137" hidden="1" customWidth="1"/>
    <col min="32" max="32" width="18.125" style="137" hidden="1" customWidth="1"/>
    <col min="33" max="47" width="12.875" style="137" hidden="1" customWidth="1"/>
    <col min="48" max="48" width="14.625" style="97" customWidth="1"/>
    <col min="49" max="49" width="5.00390625" style="137" customWidth="1"/>
    <col min="50" max="50" width="13.375" style="137" customWidth="1"/>
    <col min="51" max="51" width="15.875" style="137" customWidth="1"/>
    <col min="52" max="52" width="15.25390625" style="137" customWidth="1"/>
    <col min="53" max="16384" width="12.875" style="137" customWidth="1"/>
  </cols>
  <sheetData>
    <row r="1" spans="2:48" s="135" customFormat="1" ht="28.5" customHeight="1">
      <c r="B1" s="182" t="s">
        <v>520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V1" s="176"/>
    </row>
    <row r="2" spans="2:13" ht="28.5" customHeight="1">
      <c r="B2" s="182" t="s">
        <v>298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35"/>
    </row>
    <row r="3" spans="4:48" ht="21.75" customHeight="1" thickBot="1">
      <c r="D3" s="97"/>
      <c r="E3" s="97"/>
      <c r="F3" s="97"/>
      <c r="G3" s="97"/>
      <c r="H3" s="97"/>
      <c r="I3" s="97"/>
      <c r="J3" s="97"/>
      <c r="K3" s="97"/>
      <c r="L3" s="97"/>
      <c r="AV3" s="162" t="s">
        <v>444</v>
      </c>
    </row>
    <row r="4" spans="1:48" ht="22.5" customHeight="1">
      <c r="A4" s="409" t="s">
        <v>72</v>
      </c>
      <c r="B4" s="411" t="s">
        <v>73</v>
      </c>
      <c r="C4" s="391" t="s">
        <v>299</v>
      </c>
      <c r="D4" s="413" t="s">
        <v>70</v>
      </c>
      <c r="E4" s="414"/>
      <c r="F4" s="414"/>
      <c r="G4" s="415"/>
      <c r="H4" s="106" t="s">
        <v>293</v>
      </c>
      <c r="I4" s="403" t="s">
        <v>521</v>
      </c>
      <c r="J4" s="404"/>
      <c r="K4" s="405" t="s">
        <v>294</v>
      </c>
      <c r="L4" s="406"/>
      <c r="M4" s="407" t="s">
        <v>69</v>
      </c>
      <c r="N4" s="408"/>
      <c r="O4" s="405" t="s">
        <v>295</v>
      </c>
      <c r="P4" s="406"/>
      <c r="Q4" s="403" t="s">
        <v>522</v>
      </c>
      <c r="R4" s="404"/>
      <c r="S4" s="395" t="s">
        <v>481</v>
      </c>
      <c r="T4" s="396"/>
      <c r="U4" s="403" t="s">
        <v>358</v>
      </c>
      <c r="V4" s="404"/>
      <c r="W4" s="395" t="s">
        <v>359</v>
      </c>
      <c r="X4" s="396"/>
      <c r="Y4" s="403" t="s">
        <v>525</v>
      </c>
      <c r="Z4" s="404"/>
      <c r="AA4" s="395" t="s">
        <v>7</v>
      </c>
      <c r="AB4" s="396"/>
      <c r="AC4" s="397" t="s">
        <v>71</v>
      </c>
      <c r="AD4" s="398"/>
      <c r="AE4" s="399" t="s">
        <v>8</v>
      </c>
      <c r="AF4" s="401" t="s">
        <v>56</v>
      </c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93" t="s">
        <v>446</v>
      </c>
    </row>
    <row r="5" spans="1:48" ht="18.75" customHeight="1" thickBot="1">
      <c r="A5" s="410"/>
      <c r="B5" s="412"/>
      <c r="C5" s="416"/>
      <c r="D5" s="202" t="s">
        <v>75</v>
      </c>
      <c r="E5" s="203"/>
      <c r="F5" s="202" t="s">
        <v>76</v>
      </c>
      <c r="G5" s="203"/>
      <c r="H5" s="204" t="s">
        <v>74</v>
      </c>
      <c r="I5" s="205" t="s">
        <v>75</v>
      </c>
      <c r="J5" s="206" t="s">
        <v>76</v>
      </c>
      <c r="K5" s="207" t="s">
        <v>75</v>
      </c>
      <c r="L5" s="207" t="s">
        <v>76</v>
      </c>
      <c r="M5" s="204" t="s">
        <v>75</v>
      </c>
      <c r="N5" s="208" t="s">
        <v>76</v>
      </c>
      <c r="O5" s="207" t="s">
        <v>75</v>
      </c>
      <c r="P5" s="207" t="s">
        <v>76</v>
      </c>
      <c r="Q5" s="205" t="s">
        <v>75</v>
      </c>
      <c r="R5" s="206" t="s">
        <v>76</v>
      </c>
      <c r="S5" s="207" t="s">
        <v>75</v>
      </c>
      <c r="T5" s="209" t="s">
        <v>76</v>
      </c>
      <c r="U5" s="205" t="s">
        <v>75</v>
      </c>
      <c r="V5" s="206" t="s">
        <v>76</v>
      </c>
      <c r="W5" s="207" t="s">
        <v>75</v>
      </c>
      <c r="X5" s="209" t="s">
        <v>76</v>
      </c>
      <c r="Y5" s="205" t="s">
        <v>75</v>
      </c>
      <c r="Z5" s="210" t="s">
        <v>76</v>
      </c>
      <c r="AA5" s="207" t="s">
        <v>75</v>
      </c>
      <c r="AB5" s="209" t="s">
        <v>76</v>
      </c>
      <c r="AC5" s="202" t="s">
        <v>75</v>
      </c>
      <c r="AD5" s="204" t="s">
        <v>76</v>
      </c>
      <c r="AE5" s="400"/>
      <c r="AF5" s="402"/>
      <c r="AV5" s="394"/>
    </row>
    <row r="6" spans="1:53" ht="21" customHeight="1">
      <c r="A6" s="312"/>
      <c r="B6" s="342" t="s">
        <v>479</v>
      </c>
      <c r="C6" s="228">
        <f>C7+C15+C38</f>
        <v>50988714</v>
      </c>
      <c r="D6" s="229">
        <f>D7+D15+D38</f>
        <v>0</v>
      </c>
      <c r="E6" s="73"/>
      <c r="F6" s="229">
        <f>F7+F15+F38</f>
        <v>629129</v>
      </c>
      <c r="G6" s="68"/>
      <c r="H6" s="229">
        <f aca="true" t="shared" si="0" ref="H6:H12">C6+F6-D6</f>
        <v>51617843</v>
      </c>
      <c r="I6" s="230">
        <f>(I7+I15+I38)</f>
        <v>-45</v>
      </c>
      <c r="J6" s="230">
        <f>J7+J15+J38</f>
        <v>776673</v>
      </c>
      <c r="K6" s="230">
        <f>(K7+K15+K38)</f>
        <v>48123</v>
      </c>
      <c r="L6" s="230">
        <f>L7+L15+L38</f>
        <v>0</v>
      </c>
      <c r="M6" s="230">
        <f>(M7+M15+M38)</f>
        <v>-2241</v>
      </c>
      <c r="N6" s="230">
        <f>N7+N15+N38</f>
        <v>197027</v>
      </c>
      <c r="O6" s="230">
        <f>(O7+O15+O38)</f>
        <v>243</v>
      </c>
      <c r="P6" s="230">
        <f>P7+P15+P38</f>
        <v>0</v>
      </c>
      <c r="Q6" s="230">
        <f>(Q7+Q15+Q38)</f>
        <v>0</v>
      </c>
      <c r="R6" s="230">
        <f aca="true" t="shared" si="1" ref="R6:X6">R7+R15+R38</f>
        <v>156846</v>
      </c>
      <c r="S6" s="230">
        <f t="shared" si="1"/>
        <v>0</v>
      </c>
      <c r="T6" s="230">
        <f t="shared" si="1"/>
        <v>0</v>
      </c>
      <c r="U6" s="230">
        <f t="shared" si="1"/>
        <v>0</v>
      </c>
      <c r="V6" s="230">
        <f t="shared" si="1"/>
        <v>1128512</v>
      </c>
      <c r="W6" s="230">
        <f t="shared" si="1"/>
        <v>1121861</v>
      </c>
      <c r="X6" s="230">
        <f t="shared" si="1"/>
        <v>0</v>
      </c>
      <c r="Y6" s="230">
        <f>Y7+Y15+Y38</f>
        <v>-147</v>
      </c>
      <c r="Z6" s="230">
        <f>Z7+Z15+Z38</f>
        <v>4694</v>
      </c>
      <c r="AA6" s="230">
        <f>AA7+AA15+AA38</f>
        <v>0</v>
      </c>
      <c r="AB6" s="230">
        <f>AB7+AB15+AB38</f>
        <v>0</v>
      </c>
      <c r="AC6" s="229">
        <f aca="true" t="shared" si="2" ref="AC6:AD28">I6+K6+M6+O6+Q6+S6+U6+W6+Y6+AA6</f>
        <v>1167794</v>
      </c>
      <c r="AD6" s="229">
        <f t="shared" si="2"/>
        <v>2263752</v>
      </c>
      <c r="AE6" s="230">
        <f>AE7+AE15+AE38</f>
        <v>0</v>
      </c>
      <c r="AF6" s="231">
        <f>AF7+AF15+AF38</f>
        <v>52695308</v>
      </c>
      <c r="AG6" s="232">
        <f>H6+AC6+AD6</f>
        <v>55049389</v>
      </c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343">
        <f>AV7+AV15+AV38</f>
        <v>23712752</v>
      </c>
      <c r="AY6" s="163"/>
      <c r="AZ6" s="164"/>
      <c r="BA6" s="165"/>
    </row>
    <row r="7" spans="1:53" ht="21" customHeight="1">
      <c r="A7" s="312"/>
      <c r="B7" s="344" t="s">
        <v>482</v>
      </c>
      <c r="C7" s="133">
        <v>4481676</v>
      </c>
      <c r="D7" s="133">
        <f>SUM(D8:D14)</f>
        <v>0</v>
      </c>
      <c r="E7" s="177"/>
      <c r="F7" s="133">
        <f>SUM(F8:F14)</f>
        <v>0</v>
      </c>
      <c r="G7" s="177"/>
      <c r="H7" s="120">
        <f t="shared" si="0"/>
        <v>4481676</v>
      </c>
      <c r="I7" s="178">
        <f aca="true" t="shared" si="3" ref="I7:P7">SUM(I8:I14)</f>
        <v>0</v>
      </c>
      <c r="J7" s="178">
        <f t="shared" si="3"/>
        <v>19573</v>
      </c>
      <c r="K7" s="178">
        <f t="shared" si="3"/>
        <v>0</v>
      </c>
      <c r="L7" s="178">
        <f t="shared" si="3"/>
        <v>0</v>
      </c>
      <c r="M7" s="178">
        <f>SUM(M8:M14)</f>
        <v>-2241</v>
      </c>
      <c r="N7" s="178">
        <f t="shared" si="3"/>
        <v>72593</v>
      </c>
      <c r="O7" s="178">
        <f t="shared" si="3"/>
        <v>-4977</v>
      </c>
      <c r="P7" s="178">
        <f t="shared" si="3"/>
        <v>0</v>
      </c>
      <c r="Q7" s="178">
        <f aca="true" t="shared" si="4" ref="Q7:X7">SUM(Q8:Q14)</f>
        <v>0</v>
      </c>
      <c r="R7" s="178">
        <f t="shared" si="4"/>
        <v>7187</v>
      </c>
      <c r="S7" s="178">
        <f t="shared" si="4"/>
        <v>0</v>
      </c>
      <c r="T7" s="178">
        <f t="shared" si="4"/>
        <v>0</v>
      </c>
      <c r="U7" s="178">
        <f t="shared" si="4"/>
        <v>0</v>
      </c>
      <c r="V7" s="178">
        <f t="shared" si="4"/>
        <v>0</v>
      </c>
      <c r="W7" s="178">
        <f t="shared" si="4"/>
        <v>0</v>
      </c>
      <c r="X7" s="178">
        <f t="shared" si="4"/>
        <v>0</v>
      </c>
      <c r="Y7" s="178">
        <f>SUM(Y8:Y14)</f>
        <v>-147</v>
      </c>
      <c r="Z7" s="178">
        <f>SUM(Z8:Z14)</f>
        <v>2468</v>
      </c>
      <c r="AA7" s="178">
        <f>SUM(AA8:AA14)</f>
        <v>0</v>
      </c>
      <c r="AB7" s="178">
        <f>SUM(AB8:AB14)</f>
        <v>0</v>
      </c>
      <c r="AC7" s="120">
        <f t="shared" si="2"/>
        <v>-7365</v>
      </c>
      <c r="AD7" s="120">
        <f t="shared" si="2"/>
        <v>101821</v>
      </c>
      <c r="AE7" s="178">
        <f>SUM(AE8:AE14)</f>
        <v>0</v>
      </c>
      <c r="AF7" s="233">
        <f>H7+AD7+AC7</f>
        <v>4576132</v>
      </c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345">
        <v>1980812</v>
      </c>
      <c r="AY7" s="166"/>
      <c r="AZ7" s="164"/>
      <c r="BA7" s="165"/>
    </row>
    <row r="8" spans="1:53" ht="42.75" customHeight="1" hidden="1">
      <c r="A8" s="312">
        <v>4201</v>
      </c>
      <c r="B8" s="344" t="s">
        <v>291</v>
      </c>
      <c r="C8" s="133">
        <v>1579826</v>
      </c>
      <c r="D8" s="120"/>
      <c r="E8" s="177"/>
      <c r="F8" s="132"/>
      <c r="G8" s="132"/>
      <c r="H8" s="120">
        <f t="shared" si="0"/>
        <v>1579826</v>
      </c>
      <c r="I8" s="234"/>
      <c r="J8" s="234"/>
      <c r="K8" s="178"/>
      <c r="L8" s="178"/>
      <c r="M8" s="178"/>
      <c r="N8" s="178">
        <v>72593</v>
      </c>
      <c r="O8" s="178">
        <v>-4977</v>
      </c>
      <c r="P8" s="178"/>
      <c r="Q8" s="178"/>
      <c r="R8" s="178"/>
      <c r="S8" s="178"/>
      <c r="T8" s="178"/>
      <c r="U8" s="178"/>
      <c r="V8" s="178"/>
      <c r="W8" s="178"/>
      <c r="X8" s="178"/>
      <c r="Y8" s="133"/>
      <c r="Z8" s="133"/>
      <c r="AA8" s="178"/>
      <c r="AB8" s="178"/>
      <c r="AC8" s="120">
        <f t="shared" si="2"/>
        <v>-4977</v>
      </c>
      <c r="AD8" s="120">
        <f t="shared" si="2"/>
        <v>72593</v>
      </c>
      <c r="AE8" s="120"/>
      <c r="AF8" s="233">
        <f>H8+AD8+AC8</f>
        <v>1647442</v>
      </c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345"/>
      <c r="AY8" s="163"/>
      <c r="AZ8" s="167"/>
      <c r="BA8" s="138"/>
    </row>
    <row r="9" spans="1:51" ht="38.25" customHeight="1" hidden="1">
      <c r="A9" s="312">
        <v>4202</v>
      </c>
      <c r="B9" s="344" t="s">
        <v>292</v>
      </c>
      <c r="C9" s="133">
        <v>1779516</v>
      </c>
      <c r="D9" s="120"/>
      <c r="E9" s="177"/>
      <c r="F9" s="132"/>
      <c r="G9" s="132"/>
      <c r="H9" s="120">
        <f t="shared" si="0"/>
        <v>1779516</v>
      </c>
      <c r="I9" s="234"/>
      <c r="J9" s="234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33"/>
      <c r="Z9" s="133"/>
      <c r="AA9" s="178"/>
      <c r="AB9" s="178"/>
      <c r="AC9" s="120">
        <f t="shared" si="2"/>
        <v>0</v>
      </c>
      <c r="AD9" s="120">
        <f t="shared" si="2"/>
        <v>0</v>
      </c>
      <c r="AE9" s="120"/>
      <c r="AF9" s="233">
        <f>H9+AD9-AC9</f>
        <v>1779516</v>
      </c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345"/>
      <c r="AY9" s="163"/>
    </row>
    <row r="10" spans="1:48" ht="39.75" customHeight="1" hidden="1">
      <c r="A10" s="312">
        <v>4451</v>
      </c>
      <c r="B10" s="344" t="s">
        <v>313</v>
      </c>
      <c r="C10" s="133"/>
      <c r="D10" s="120"/>
      <c r="E10" s="177"/>
      <c r="F10" s="120"/>
      <c r="G10" s="177"/>
      <c r="H10" s="120">
        <f t="shared" si="0"/>
        <v>0</v>
      </c>
      <c r="I10" s="234"/>
      <c r="J10" s="234"/>
      <c r="K10" s="178"/>
      <c r="L10" s="178"/>
      <c r="M10" s="178"/>
      <c r="N10" s="178"/>
      <c r="O10" s="178"/>
      <c r="P10" s="178"/>
      <c r="Q10" s="178"/>
      <c r="R10" s="178">
        <v>7187</v>
      </c>
      <c r="S10" s="178"/>
      <c r="T10" s="178"/>
      <c r="U10" s="178"/>
      <c r="V10" s="178"/>
      <c r="W10" s="178"/>
      <c r="X10" s="178"/>
      <c r="Y10" s="133"/>
      <c r="Z10" s="133">
        <f>2360</f>
        <v>2360</v>
      </c>
      <c r="AA10" s="178"/>
      <c r="AB10" s="178"/>
      <c r="AC10" s="120">
        <f t="shared" si="2"/>
        <v>0</v>
      </c>
      <c r="AD10" s="120">
        <f t="shared" si="2"/>
        <v>9547</v>
      </c>
      <c r="AE10" s="120"/>
      <c r="AF10" s="233">
        <f>H10+AD10-AC10</f>
        <v>9547</v>
      </c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345"/>
    </row>
    <row r="11" spans="1:48" ht="38.25" customHeight="1" hidden="1">
      <c r="A11" s="312">
        <v>4452</v>
      </c>
      <c r="B11" s="344" t="s">
        <v>314</v>
      </c>
      <c r="C11" s="133">
        <v>1256278</v>
      </c>
      <c r="D11" s="120"/>
      <c r="E11" s="177"/>
      <c r="F11" s="120"/>
      <c r="G11" s="177"/>
      <c r="H11" s="120">
        <f t="shared" si="0"/>
        <v>1256278</v>
      </c>
      <c r="I11" s="234"/>
      <c r="J11" s="234"/>
      <c r="K11" s="179"/>
      <c r="L11" s="178"/>
      <c r="M11" s="178"/>
      <c r="N11" s="178"/>
      <c r="O11" s="179"/>
      <c r="P11" s="178"/>
      <c r="Q11" s="178"/>
      <c r="R11" s="178"/>
      <c r="S11" s="178"/>
      <c r="T11" s="178"/>
      <c r="U11" s="178"/>
      <c r="V11" s="178"/>
      <c r="W11" s="178"/>
      <c r="X11" s="178"/>
      <c r="Y11" s="133"/>
      <c r="Z11" s="133">
        <f>97</f>
        <v>97</v>
      </c>
      <c r="AA11" s="178"/>
      <c r="AB11" s="178"/>
      <c r="AC11" s="120">
        <f t="shared" si="2"/>
        <v>0</v>
      </c>
      <c r="AD11" s="120">
        <f t="shared" si="2"/>
        <v>97</v>
      </c>
      <c r="AE11" s="120"/>
      <c r="AF11" s="233">
        <f>H11+AD11-AC11</f>
        <v>1256375</v>
      </c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345"/>
    </row>
    <row r="12" spans="1:48" ht="28.5" customHeight="1" hidden="1">
      <c r="A12" s="312">
        <v>4453</v>
      </c>
      <c r="B12" s="344" t="s">
        <v>315</v>
      </c>
      <c r="C12" s="133">
        <v>116413</v>
      </c>
      <c r="D12" s="120"/>
      <c r="E12" s="177"/>
      <c r="F12" s="120"/>
      <c r="G12" s="177"/>
      <c r="H12" s="120">
        <f t="shared" si="0"/>
        <v>116413</v>
      </c>
      <c r="I12" s="234"/>
      <c r="J12" s="234">
        <v>19573</v>
      </c>
      <c r="K12" s="178"/>
      <c r="L12" s="178"/>
      <c r="M12" s="178"/>
      <c r="N12" s="178"/>
      <c r="O12" s="178"/>
      <c r="P12" s="178"/>
      <c r="Q12" s="178"/>
      <c r="R12" s="178">
        <v>0</v>
      </c>
      <c r="S12" s="178"/>
      <c r="T12" s="178"/>
      <c r="U12" s="178"/>
      <c r="V12" s="178"/>
      <c r="W12" s="178"/>
      <c r="X12" s="178"/>
      <c r="Y12" s="133"/>
      <c r="Z12" s="133">
        <f>11</f>
        <v>11</v>
      </c>
      <c r="AA12" s="178"/>
      <c r="AB12" s="178"/>
      <c r="AC12" s="120">
        <f t="shared" si="2"/>
        <v>0</v>
      </c>
      <c r="AD12" s="120">
        <f t="shared" si="2"/>
        <v>19584</v>
      </c>
      <c r="AE12" s="120"/>
      <c r="AF12" s="233">
        <f>H12+AD12-AC12</f>
        <v>135997</v>
      </c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345"/>
    </row>
    <row r="13" spans="1:48" s="168" customFormat="1" ht="36" customHeight="1" hidden="1">
      <c r="A13" s="313">
        <v>5305</v>
      </c>
      <c r="B13" s="344" t="s">
        <v>316</v>
      </c>
      <c r="C13" s="185">
        <v>-134173</v>
      </c>
      <c r="D13" s="181"/>
      <c r="E13" s="177"/>
      <c r="F13" s="181"/>
      <c r="G13" s="177"/>
      <c r="H13" s="181">
        <f>C13+D13-F13</f>
        <v>-134173</v>
      </c>
      <c r="I13" s="235"/>
      <c r="J13" s="235"/>
      <c r="K13" s="181"/>
      <c r="L13" s="181"/>
      <c r="M13" s="181">
        <v>-2241</v>
      </c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33"/>
      <c r="Z13" s="133"/>
      <c r="AA13" s="181"/>
      <c r="AB13" s="181"/>
      <c r="AC13" s="120">
        <f t="shared" si="2"/>
        <v>-2241</v>
      </c>
      <c r="AD13" s="120">
        <f t="shared" si="2"/>
        <v>0</v>
      </c>
      <c r="AE13" s="181"/>
      <c r="AF13" s="236">
        <f>H13+AC13-AD13</f>
        <v>-136414</v>
      </c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346"/>
    </row>
    <row r="14" spans="1:48" s="168" customFormat="1" ht="28.5" customHeight="1" hidden="1">
      <c r="A14" s="313">
        <v>5306</v>
      </c>
      <c r="B14" s="344" t="s">
        <v>319</v>
      </c>
      <c r="C14" s="185">
        <v>-95789</v>
      </c>
      <c r="D14" s="181"/>
      <c r="E14" s="177"/>
      <c r="F14" s="181"/>
      <c r="G14" s="177"/>
      <c r="H14" s="181">
        <f>C14+D14-F14</f>
        <v>-95789</v>
      </c>
      <c r="I14" s="235"/>
      <c r="J14" s="235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33">
        <f>-147</f>
        <v>-147</v>
      </c>
      <c r="Z14" s="133"/>
      <c r="AA14" s="181"/>
      <c r="AB14" s="181"/>
      <c r="AC14" s="120">
        <f t="shared" si="2"/>
        <v>-147</v>
      </c>
      <c r="AD14" s="120">
        <f t="shared" si="2"/>
        <v>0</v>
      </c>
      <c r="AE14" s="181"/>
      <c r="AF14" s="236">
        <f>H14+AC14-AD14</f>
        <v>-95936</v>
      </c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346"/>
    </row>
    <row r="15" spans="1:48" ht="18.75" customHeight="1">
      <c r="A15" s="314"/>
      <c r="B15" s="347" t="s">
        <v>480</v>
      </c>
      <c r="C15" s="133">
        <v>45101691</v>
      </c>
      <c r="D15" s="133">
        <f>SUM(D16:D37)</f>
        <v>0</v>
      </c>
      <c r="E15" s="238"/>
      <c r="F15" s="133">
        <f>SUM(F16:F37)</f>
        <v>629129</v>
      </c>
      <c r="G15" s="238"/>
      <c r="H15" s="133">
        <f>SUM(H16:H37)</f>
        <v>45727147</v>
      </c>
      <c r="I15" s="133">
        <f>SUM(I16:I37)</f>
        <v>-45</v>
      </c>
      <c r="J15" s="133">
        <f>SUM(J16:J37)</f>
        <v>717679</v>
      </c>
      <c r="K15" s="133">
        <f aca="true" t="shared" si="5" ref="K15:AB15">SUM(K16:K37)</f>
        <v>0</v>
      </c>
      <c r="L15" s="133">
        <f t="shared" si="5"/>
        <v>0</v>
      </c>
      <c r="M15" s="133">
        <f t="shared" si="5"/>
        <v>0</v>
      </c>
      <c r="N15" s="133">
        <f t="shared" si="5"/>
        <v>0</v>
      </c>
      <c r="O15" s="133">
        <f t="shared" si="5"/>
        <v>0</v>
      </c>
      <c r="P15" s="133">
        <f t="shared" si="5"/>
        <v>0</v>
      </c>
      <c r="Q15" s="133">
        <f t="shared" si="5"/>
        <v>0</v>
      </c>
      <c r="R15" s="133">
        <f t="shared" si="5"/>
        <v>137085</v>
      </c>
      <c r="S15" s="133">
        <f t="shared" si="5"/>
        <v>0</v>
      </c>
      <c r="T15" s="133">
        <f t="shared" si="5"/>
        <v>0</v>
      </c>
      <c r="U15" s="133">
        <f t="shared" si="5"/>
        <v>0</v>
      </c>
      <c r="V15" s="133">
        <f t="shared" si="5"/>
        <v>0</v>
      </c>
      <c r="W15" s="133">
        <f t="shared" si="5"/>
        <v>0</v>
      </c>
      <c r="X15" s="133">
        <f t="shared" si="5"/>
        <v>0</v>
      </c>
      <c r="Y15" s="133">
        <f t="shared" si="5"/>
        <v>0</v>
      </c>
      <c r="Z15" s="133">
        <f t="shared" si="5"/>
        <v>0</v>
      </c>
      <c r="AA15" s="133">
        <f t="shared" si="5"/>
        <v>0</v>
      </c>
      <c r="AB15" s="133">
        <f t="shared" si="5"/>
        <v>0</v>
      </c>
      <c r="AC15" s="120">
        <f t="shared" si="2"/>
        <v>-45</v>
      </c>
      <c r="AD15" s="120">
        <f t="shared" si="2"/>
        <v>854764</v>
      </c>
      <c r="AE15" s="133">
        <f>SUM(AE16:AE37)</f>
        <v>0</v>
      </c>
      <c r="AF15" s="233">
        <f>H15+AD15+AC15</f>
        <v>46581866</v>
      </c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345">
        <v>21009547</v>
      </c>
    </row>
    <row r="16" spans="1:48" ht="58.5" customHeight="1" hidden="1">
      <c r="A16" s="312">
        <v>4322</v>
      </c>
      <c r="B16" s="344" t="s">
        <v>296</v>
      </c>
      <c r="C16" s="133">
        <v>482</v>
      </c>
      <c r="D16" s="120"/>
      <c r="E16" s="177"/>
      <c r="F16" s="120"/>
      <c r="G16" s="177"/>
      <c r="H16" s="120">
        <f aca="true" t="shared" si="6" ref="H16:H37">C16+F16-D16</f>
        <v>482</v>
      </c>
      <c r="I16" s="234"/>
      <c r="J16" s="234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33"/>
      <c r="Z16" s="133"/>
      <c r="AA16" s="178"/>
      <c r="AB16" s="178"/>
      <c r="AC16" s="120">
        <f t="shared" si="2"/>
        <v>0</v>
      </c>
      <c r="AD16" s="120">
        <f t="shared" si="2"/>
        <v>0</v>
      </c>
      <c r="AE16" s="120"/>
      <c r="AF16" s="233">
        <f aca="true" t="shared" si="7" ref="AF16:AF36">H16+AD16-AC16</f>
        <v>482</v>
      </c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345"/>
    </row>
    <row r="17" spans="1:48" ht="55.5" customHeight="1" hidden="1">
      <c r="A17" s="312">
        <v>4323</v>
      </c>
      <c r="B17" s="344" t="s">
        <v>300</v>
      </c>
      <c r="C17" s="133"/>
      <c r="D17" s="120"/>
      <c r="E17" s="177"/>
      <c r="F17" s="120"/>
      <c r="G17" s="177"/>
      <c r="H17" s="120">
        <f t="shared" si="6"/>
        <v>0</v>
      </c>
      <c r="I17" s="234"/>
      <c r="J17" s="234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33"/>
      <c r="Z17" s="133"/>
      <c r="AA17" s="178"/>
      <c r="AB17" s="178"/>
      <c r="AC17" s="120">
        <f t="shared" si="2"/>
        <v>0</v>
      </c>
      <c r="AD17" s="120">
        <f t="shared" si="2"/>
        <v>0</v>
      </c>
      <c r="AE17" s="120"/>
      <c r="AF17" s="233">
        <f t="shared" si="7"/>
        <v>0</v>
      </c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345"/>
    </row>
    <row r="18" spans="1:48" ht="72.75" customHeight="1" hidden="1">
      <c r="A18" s="315">
        <v>4327</v>
      </c>
      <c r="B18" s="344" t="s">
        <v>39</v>
      </c>
      <c r="C18" s="133">
        <v>85</v>
      </c>
      <c r="D18" s="120"/>
      <c r="E18" s="177"/>
      <c r="F18" s="120"/>
      <c r="G18" s="177"/>
      <c r="H18" s="120">
        <f t="shared" si="6"/>
        <v>85</v>
      </c>
      <c r="I18" s="234"/>
      <c r="J18" s="234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33"/>
      <c r="Z18" s="133"/>
      <c r="AA18" s="178"/>
      <c r="AB18" s="178"/>
      <c r="AC18" s="120">
        <f t="shared" si="2"/>
        <v>0</v>
      </c>
      <c r="AD18" s="120">
        <f t="shared" si="2"/>
        <v>0</v>
      </c>
      <c r="AE18" s="120"/>
      <c r="AF18" s="233">
        <f t="shared" si="7"/>
        <v>85</v>
      </c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345"/>
    </row>
    <row r="19" spans="1:48" ht="70.5" customHeight="1" hidden="1">
      <c r="A19" s="315">
        <v>4328</v>
      </c>
      <c r="B19" s="344" t="s">
        <v>41</v>
      </c>
      <c r="C19" s="133"/>
      <c r="D19" s="120"/>
      <c r="E19" s="177"/>
      <c r="F19" s="120"/>
      <c r="G19" s="177"/>
      <c r="H19" s="120">
        <f t="shared" si="6"/>
        <v>0</v>
      </c>
      <c r="I19" s="234"/>
      <c r="J19" s="234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33"/>
      <c r="Z19" s="133"/>
      <c r="AA19" s="178"/>
      <c r="AB19" s="178"/>
      <c r="AC19" s="120">
        <f t="shared" si="2"/>
        <v>0</v>
      </c>
      <c r="AD19" s="120">
        <f t="shared" si="2"/>
        <v>0</v>
      </c>
      <c r="AE19" s="120"/>
      <c r="AF19" s="233">
        <f t="shared" si="7"/>
        <v>0</v>
      </c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345"/>
    </row>
    <row r="20" spans="1:48" ht="50.25" customHeight="1" hidden="1">
      <c r="A20" s="315">
        <v>4330</v>
      </c>
      <c r="B20" s="344" t="s">
        <v>42</v>
      </c>
      <c r="C20" s="133"/>
      <c r="D20" s="120"/>
      <c r="E20" s="177"/>
      <c r="F20" s="120"/>
      <c r="G20" s="177"/>
      <c r="H20" s="120">
        <f t="shared" si="6"/>
        <v>0</v>
      </c>
      <c r="I20" s="234"/>
      <c r="J20" s="234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33"/>
      <c r="Z20" s="133"/>
      <c r="AA20" s="178"/>
      <c r="AB20" s="178"/>
      <c r="AC20" s="120">
        <f t="shared" si="2"/>
        <v>0</v>
      </c>
      <c r="AD20" s="120">
        <f t="shared" si="2"/>
        <v>0</v>
      </c>
      <c r="AE20" s="120"/>
      <c r="AF20" s="233">
        <f t="shared" si="7"/>
        <v>0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345"/>
    </row>
    <row r="21" spans="1:48" ht="28.5" customHeight="1" hidden="1">
      <c r="A21" s="315">
        <v>4331</v>
      </c>
      <c r="B21" s="344" t="s">
        <v>43</v>
      </c>
      <c r="C21" s="133"/>
      <c r="D21" s="120"/>
      <c r="E21" s="177"/>
      <c r="F21" s="120"/>
      <c r="G21" s="177"/>
      <c r="H21" s="120">
        <f t="shared" si="6"/>
        <v>0</v>
      </c>
      <c r="I21" s="234"/>
      <c r="J21" s="234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33"/>
      <c r="Z21" s="133"/>
      <c r="AA21" s="178"/>
      <c r="AB21" s="178"/>
      <c r="AC21" s="120">
        <f t="shared" si="2"/>
        <v>0</v>
      </c>
      <c r="AD21" s="120">
        <f t="shared" si="2"/>
        <v>0</v>
      </c>
      <c r="AE21" s="120"/>
      <c r="AF21" s="233">
        <f t="shared" si="7"/>
        <v>0</v>
      </c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345"/>
    </row>
    <row r="22" spans="1:48" ht="41.25" customHeight="1" hidden="1">
      <c r="A22" s="312">
        <v>4401</v>
      </c>
      <c r="B22" s="344" t="s">
        <v>301</v>
      </c>
      <c r="C22" s="133">
        <v>320081</v>
      </c>
      <c r="D22" s="120"/>
      <c r="E22" s="177"/>
      <c r="F22" s="120"/>
      <c r="G22" s="177"/>
      <c r="H22" s="120">
        <f t="shared" si="6"/>
        <v>320081</v>
      </c>
      <c r="I22" s="234"/>
      <c r="J22" s="234">
        <v>733</v>
      </c>
      <c r="K22" s="178"/>
      <c r="L22" s="178"/>
      <c r="M22" s="178"/>
      <c r="N22" s="178"/>
      <c r="O22" s="178"/>
      <c r="P22" s="178"/>
      <c r="Q22" s="178"/>
      <c r="R22" s="178">
        <v>51</v>
      </c>
      <c r="S22" s="178"/>
      <c r="T22" s="178"/>
      <c r="U22" s="178"/>
      <c r="V22" s="178"/>
      <c r="W22" s="178"/>
      <c r="X22" s="178"/>
      <c r="Y22" s="133"/>
      <c r="Z22" s="133"/>
      <c r="AA22" s="178"/>
      <c r="AB22" s="178"/>
      <c r="AC22" s="120">
        <f t="shared" si="2"/>
        <v>0</v>
      </c>
      <c r="AD22" s="120">
        <f t="shared" si="2"/>
        <v>784</v>
      </c>
      <c r="AE22" s="120"/>
      <c r="AF22" s="233">
        <f t="shared" si="7"/>
        <v>320865</v>
      </c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345"/>
    </row>
    <row r="23" spans="1:48" ht="36" customHeight="1" hidden="1">
      <c r="A23" s="312">
        <v>4403</v>
      </c>
      <c r="B23" s="344" t="s">
        <v>302</v>
      </c>
      <c r="C23" s="133">
        <v>19594</v>
      </c>
      <c r="D23" s="120"/>
      <c r="E23" s="177"/>
      <c r="F23" s="120"/>
      <c r="G23" s="177"/>
      <c r="H23" s="120">
        <f t="shared" si="6"/>
        <v>19594</v>
      </c>
      <c r="I23" s="234"/>
      <c r="J23" s="234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33"/>
      <c r="Z23" s="133"/>
      <c r="AA23" s="178"/>
      <c r="AB23" s="178"/>
      <c r="AC23" s="120">
        <f t="shared" si="2"/>
        <v>0</v>
      </c>
      <c r="AD23" s="120">
        <f t="shared" si="2"/>
        <v>0</v>
      </c>
      <c r="AE23" s="120"/>
      <c r="AF23" s="233">
        <f t="shared" si="7"/>
        <v>19594</v>
      </c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345"/>
    </row>
    <row r="24" spans="1:48" ht="38.25" customHeight="1" hidden="1">
      <c r="A24" s="312">
        <v>4405</v>
      </c>
      <c r="B24" s="344" t="s">
        <v>303</v>
      </c>
      <c r="C24" s="132"/>
      <c r="D24" s="120"/>
      <c r="E24" s="177"/>
      <c r="F24" s="120"/>
      <c r="G24" s="177"/>
      <c r="H24" s="120">
        <f t="shared" si="6"/>
        <v>0</v>
      </c>
      <c r="I24" s="234"/>
      <c r="J24" s="234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33"/>
      <c r="Z24" s="133"/>
      <c r="AA24" s="178"/>
      <c r="AB24" s="178"/>
      <c r="AC24" s="120">
        <f t="shared" si="2"/>
        <v>0</v>
      </c>
      <c r="AD24" s="120">
        <f t="shared" si="2"/>
        <v>0</v>
      </c>
      <c r="AE24" s="120"/>
      <c r="AF24" s="233">
        <f t="shared" si="7"/>
        <v>0</v>
      </c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345"/>
    </row>
    <row r="25" spans="1:48" ht="47.25" customHeight="1" hidden="1">
      <c r="A25" s="312">
        <v>4407</v>
      </c>
      <c r="B25" s="344" t="s">
        <v>304</v>
      </c>
      <c r="C25" s="133">
        <v>263885</v>
      </c>
      <c r="D25" s="120"/>
      <c r="E25" s="177"/>
      <c r="F25" s="120"/>
      <c r="G25" s="177"/>
      <c r="H25" s="120">
        <f t="shared" si="6"/>
        <v>263885</v>
      </c>
      <c r="I25" s="234"/>
      <c r="J25" s="234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33"/>
      <c r="Z25" s="133"/>
      <c r="AA25" s="178"/>
      <c r="AB25" s="178"/>
      <c r="AC25" s="120">
        <f t="shared" si="2"/>
        <v>0</v>
      </c>
      <c r="AD25" s="120">
        <f t="shared" si="2"/>
        <v>0</v>
      </c>
      <c r="AE25" s="120"/>
      <c r="AF25" s="233">
        <f t="shared" si="7"/>
        <v>263885</v>
      </c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345"/>
    </row>
    <row r="26" spans="1:48" ht="44.25" customHeight="1" hidden="1">
      <c r="A26" s="312">
        <v>4411</v>
      </c>
      <c r="B26" s="344" t="s">
        <v>305</v>
      </c>
      <c r="C26" s="133">
        <v>13020172</v>
      </c>
      <c r="D26" s="120"/>
      <c r="E26" s="177"/>
      <c r="F26" s="120">
        <v>969</v>
      </c>
      <c r="G26" s="177" t="s">
        <v>440</v>
      </c>
      <c r="H26" s="120">
        <f t="shared" si="6"/>
        <v>13021141</v>
      </c>
      <c r="I26" s="234"/>
      <c r="J26" s="234">
        <v>524780</v>
      </c>
      <c r="K26" s="179"/>
      <c r="L26" s="178"/>
      <c r="M26" s="178"/>
      <c r="N26" s="178"/>
      <c r="O26" s="179"/>
      <c r="P26" s="178"/>
      <c r="Q26" s="178"/>
      <c r="R26" s="178">
        <v>48391</v>
      </c>
      <c r="S26" s="178"/>
      <c r="T26" s="178"/>
      <c r="U26" s="178"/>
      <c r="V26" s="178"/>
      <c r="W26" s="178"/>
      <c r="X26" s="178"/>
      <c r="Y26" s="133"/>
      <c r="Z26" s="133"/>
      <c r="AA26" s="178"/>
      <c r="AB26" s="178"/>
      <c r="AC26" s="120">
        <f t="shared" si="2"/>
        <v>0</v>
      </c>
      <c r="AD26" s="120">
        <f t="shared" si="2"/>
        <v>573171</v>
      </c>
      <c r="AE26" s="120"/>
      <c r="AF26" s="233">
        <f t="shared" si="7"/>
        <v>13594312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345"/>
    </row>
    <row r="27" spans="1:48" ht="38.25" customHeight="1" hidden="1">
      <c r="A27" s="312">
        <v>4417</v>
      </c>
      <c r="B27" s="344" t="s">
        <v>307</v>
      </c>
      <c r="C27" s="133">
        <v>30791644</v>
      </c>
      <c r="D27" s="120"/>
      <c r="E27" s="177"/>
      <c r="F27" s="120"/>
      <c r="G27" s="177"/>
      <c r="H27" s="120">
        <f t="shared" si="6"/>
        <v>30791644</v>
      </c>
      <c r="I27" s="234"/>
      <c r="J27" s="234">
        <v>173560</v>
      </c>
      <c r="K27" s="179"/>
      <c r="L27" s="178"/>
      <c r="M27" s="178"/>
      <c r="N27" s="178"/>
      <c r="O27" s="179"/>
      <c r="P27" s="178"/>
      <c r="Q27" s="178"/>
      <c r="R27" s="178">
        <v>86040</v>
      </c>
      <c r="S27" s="178"/>
      <c r="T27" s="178"/>
      <c r="U27" s="178"/>
      <c r="V27" s="178"/>
      <c r="W27" s="178"/>
      <c r="X27" s="178"/>
      <c r="Y27" s="133"/>
      <c r="Z27" s="133"/>
      <c r="AA27" s="178"/>
      <c r="AB27" s="178"/>
      <c r="AC27" s="120">
        <f t="shared" si="2"/>
        <v>0</v>
      </c>
      <c r="AD27" s="120">
        <f t="shared" si="2"/>
        <v>259600</v>
      </c>
      <c r="AE27" s="120"/>
      <c r="AF27" s="233">
        <f t="shared" si="7"/>
        <v>31051244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345"/>
    </row>
    <row r="28" spans="1:48" ht="42" customHeight="1" hidden="1">
      <c r="A28" s="312">
        <v>4420</v>
      </c>
      <c r="B28" s="344" t="s">
        <v>308</v>
      </c>
      <c r="C28" s="133">
        <v>46</v>
      </c>
      <c r="D28" s="120"/>
      <c r="E28" s="177"/>
      <c r="F28" s="120"/>
      <c r="G28" s="177"/>
      <c r="H28" s="120">
        <f t="shared" si="6"/>
        <v>46</v>
      </c>
      <c r="I28" s="234"/>
      <c r="J28" s="234">
        <v>44</v>
      </c>
      <c r="K28" s="179"/>
      <c r="L28" s="178"/>
      <c r="M28" s="178"/>
      <c r="N28" s="178"/>
      <c r="O28" s="179"/>
      <c r="P28" s="178"/>
      <c r="Q28" s="178"/>
      <c r="R28" s="178"/>
      <c r="S28" s="178"/>
      <c r="T28" s="178"/>
      <c r="U28" s="178"/>
      <c r="V28" s="178"/>
      <c r="W28" s="178"/>
      <c r="X28" s="178"/>
      <c r="Y28" s="133"/>
      <c r="Z28" s="133"/>
      <c r="AA28" s="178"/>
      <c r="AB28" s="178"/>
      <c r="AC28" s="120">
        <f t="shared" si="2"/>
        <v>0</v>
      </c>
      <c r="AD28" s="120">
        <f t="shared" si="2"/>
        <v>44</v>
      </c>
      <c r="AE28" s="120"/>
      <c r="AF28" s="233">
        <f t="shared" si="7"/>
        <v>90</v>
      </c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345"/>
    </row>
    <row r="29" spans="1:48" ht="43.5" customHeight="1" hidden="1">
      <c r="A29" s="312">
        <v>4424</v>
      </c>
      <c r="B29" s="344" t="s">
        <v>309</v>
      </c>
      <c r="C29" s="133">
        <v>321858</v>
      </c>
      <c r="D29" s="120"/>
      <c r="E29" s="177"/>
      <c r="F29" s="120">
        <v>332449</v>
      </c>
      <c r="G29" s="177" t="s">
        <v>251</v>
      </c>
      <c r="H29" s="120">
        <f t="shared" si="6"/>
        <v>654307</v>
      </c>
      <c r="I29" s="234"/>
      <c r="J29" s="234">
        <v>17304</v>
      </c>
      <c r="K29" s="179"/>
      <c r="L29" s="178"/>
      <c r="M29" s="178"/>
      <c r="N29" s="178"/>
      <c r="O29" s="179"/>
      <c r="P29" s="178"/>
      <c r="Q29" s="178"/>
      <c r="R29" s="178">
        <v>2603</v>
      </c>
      <c r="S29" s="178"/>
      <c r="T29" s="178"/>
      <c r="U29" s="178"/>
      <c r="V29" s="178"/>
      <c r="W29" s="178"/>
      <c r="X29" s="178"/>
      <c r="Y29" s="133"/>
      <c r="Z29" s="133"/>
      <c r="AA29" s="178"/>
      <c r="AB29" s="178"/>
      <c r="AC29" s="120">
        <f aca="true" t="shared" si="8" ref="AC29:AD92">I29+K29+M29+O29+Q29+S29+U29+W29+Y29+AA29</f>
        <v>0</v>
      </c>
      <c r="AD29" s="120">
        <f t="shared" si="8"/>
        <v>19907</v>
      </c>
      <c r="AE29" s="120"/>
      <c r="AF29" s="233">
        <f t="shared" si="7"/>
        <v>674214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345"/>
    </row>
    <row r="30" spans="1:48" ht="41.25" customHeight="1" hidden="1">
      <c r="A30" s="312">
        <v>4428</v>
      </c>
      <c r="B30" s="344" t="s">
        <v>310</v>
      </c>
      <c r="C30" s="133">
        <v>211</v>
      </c>
      <c r="D30" s="120"/>
      <c r="E30" s="177"/>
      <c r="F30" s="120"/>
      <c r="G30" s="177"/>
      <c r="H30" s="120">
        <f t="shared" si="6"/>
        <v>211</v>
      </c>
      <c r="I30" s="234"/>
      <c r="J30" s="234"/>
      <c r="K30" s="179"/>
      <c r="L30" s="178"/>
      <c r="M30" s="178"/>
      <c r="N30" s="178"/>
      <c r="O30" s="179"/>
      <c r="P30" s="178"/>
      <c r="Q30" s="178"/>
      <c r="R30" s="178"/>
      <c r="S30" s="178"/>
      <c r="T30" s="178"/>
      <c r="U30" s="178"/>
      <c r="V30" s="178"/>
      <c r="W30" s="178"/>
      <c r="X30" s="178"/>
      <c r="Y30" s="133"/>
      <c r="Z30" s="133"/>
      <c r="AA30" s="178"/>
      <c r="AB30" s="178"/>
      <c r="AC30" s="120">
        <f t="shared" si="8"/>
        <v>0</v>
      </c>
      <c r="AD30" s="120">
        <f t="shared" si="8"/>
        <v>0</v>
      </c>
      <c r="AE30" s="120"/>
      <c r="AF30" s="233">
        <f t="shared" si="7"/>
        <v>211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345"/>
    </row>
    <row r="31" spans="1:48" ht="28.5" customHeight="1" hidden="1">
      <c r="A31" s="312">
        <v>4429</v>
      </c>
      <c r="B31" s="344" t="s">
        <v>312</v>
      </c>
      <c r="C31" s="133">
        <v>356036</v>
      </c>
      <c r="D31" s="120"/>
      <c r="E31" s="177"/>
      <c r="F31" s="120">
        <v>295711</v>
      </c>
      <c r="G31" s="177" t="s">
        <v>256</v>
      </c>
      <c r="H31" s="120">
        <f t="shared" si="6"/>
        <v>651747</v>
      </c>
      <c r="I31" s="234"/>
      <c r="J31" s="234">
        <v>873</v>
      </c>
      <c r="K31" s="179"/>
      <c r="L31" s="178"/>
      <c r="M31" s="178"/>
      <c r="N31" s="178"/>
      <c r="O31" s="179"/>
      <c r="P31" s="178"/>
      <c r="Q31" s="178"/>
      <c r="R31" s="178"/>
      <c r="S31" s="178"/>
      <c r="T31" s="178"/>
      <c r="U31" s="178"/>
      <c r="V31" s="178"/>
      <c r="W31" s="178"/>
      <c r="X31" s="178"/>
      <c r="Y31" s="133"/>
      <c r="Z31" s="133"/>
      <c r="AA31" s="178"/>
      <c r="AB31" s="178"/>
      <c r="AC31" s="120">
        <f t="shared" si="8"/>
        <v>0</v>
      </c>
      <c r="AD31" s="120">
        <f t="shared" si="8"/>
        <v>873</v>
      </c>
      <c r="AE31" s="120"/>
      <c r="AF31" s="233">
        <f t="shared" si="7"/>
        <v>652620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345"/>
    </row>
    <row r="32" spans="1:48" ht="36" customHeight="1" hidden="1">
      <c r="A32" s="312">
        <v>4430</v>
      </c>
      <c r="B32" s="344" t="s">
        <v>496</v>
      </c>
      <c r="C32" s="133"/>
      <c r="D32" s="120"/>
      <c r="E32" s="177"/>
      <c r="F32" s="120"/>
      <c r="G32" s="177"/>
      <c r="H32" s="120">
        <f t="shared" si="6"/>
        <v>0</v>
      </c>
      <c r="I32" s="234"/>
      <c r="J32" s="234"/>
      <c r="K32" s="179"/>
      <c r="L32" s="178"/>
      <c r="M32" s="178"/>
      <c r="N32" s="178"/>
      <c r="O32" s="179"/>
      <c r="P32" s="178"/>
      <c r="Q32" s="178"/>
      <c r="R32" s="178"/>
      <c r="S32" s="178"/>
      <c r="T32" s="178"/>
      <c r="U32" s="178"/>
      <c r="V32" s="178"/>
      <c r="W32" s="178"/>
      <c r="X32" s="178"/>
      <c r="Y32" s="133"/>
      <c r="Z32" s="133"/>
      <c r="AA32" s="178"/>
      <c r="AB32" s="178"/>
      <c r="AC32" s="120">
        <f t="shared" si="8"/>
        <v>0</v>
      </c>
      <c r="AD32" s="120">
        <f t="shared" si="8"/>
        <v>0</v>
      </c>
      <c r="AE32" s="120"/>
      <c r="AF32" s="233">
        <f t="shared" si="7"/>
        <v>0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345"/>
    </row>
    <row r="33" spans="1:48" ht="36" customHeight="1" hidden="1">
      <c r="A33" s="312">
        <v>4432</v>
      </c>
      <c r="B33" s="344" t="s">
        <v>497</v>
      </c>
      <c r="C33" s="133"/>
      <c r="D33" s="120"/>
      <c r="E33" s="177"/>
      <c r="F33" s="120"/>
      <c r="G33" s="177"/>
      <c r="H33" s="120">
        <f t="shared" si="6"/>
        <v>0</v>
      </c>
      <c r="I33" s="234"/>
      <c r="J33" s="234">
        <v>33</v>
      </c>
      <c r="K33" s="179"/>
      <c r="L33" s="178"/>
      <c r="M33" s="178"/>
      <c r="N33" s="178"/>
      <c r="O33" s="179"/>
      <c r="P33" s="178"/>
      <c r="Q33" s="178"/>
      <c r="R33" s="178"/>
      <c r="S33" s="178"/>
      <c r="T33" s="178"/>
      <c r="U33" s="178"/>
      <c r="V33" s="178"/>
      <c r="W33" s="178"/>
      <c r="X33" s="178"/>
      <c r="Y33" s="133"/>
      <c r="Z33" s="133"/>
      <c r="AA33" s="178"/>
      <c r="AB33" s="178"/>
      <c r="AC33" s="120">
        <f t="shared" si="8"/>
        <v>0</v>
      </c>
      <c r="AD33" s="120">
        <f t="shared" si="8"/>
        <v>33</v>
      </c>
      <c r="AE33" s="120"/>
      <c r="AF33" s="233">
        <f t="shared" si="7"/>
        <v>33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345"/>
    </row>
    <row r="34" spans="1:48" ht="28.5" customHeight="1" hidden="1">
      <c r="A34" s="315">
        <v>4434</v>
      </c>
      <c r="B34" s="344" t="s">
        <v>45</v>
      </c>
      <c r="C34" s="133">
        <v>3184</v>
      </c>
      <c r="D34" s="120"/>
      <c r="E34" s="177"/>
      <c r="F34" s="120"/>
      <c r="G34" s="177"/>
      <c r="H34" s="120">
        <f t="shared" si="6"/>
        <v>3184</v>
      </c>
      <c r="I34" s="234"/>
      <c r="J34" s="234">
        <v>352</v>
      </c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33"/>
      <c r="Z34" s="133"/>
      <c r="AA34" s="178"/>
      <c r="AB34" s="178"/>
      <c r="AC34" s="120">
        <f t="shared" si="8"/>
        <v>0</v>
      </c>
      <c r="AD34" s="120">
        <f t="shared" si="8"/>
        <v>352</v>
      </c>
      <c r="AE34" s="120"/>
      <c r="AF34" s="233">
        <f t="shared" si="7"/>
        <v>3536</v>
      </c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345"/>
    </row>
    <row r="35" spans="1:48" ht="28.5" customHeight="1" hidden="1">
      <c r="A35" s="315">
        <v>4440</v>
      </c>
      <c r="B35" s="344" t="s">
        <v>46</v>
      </c>
      <c r="C35" s="133"/>
      <c r="D35" s="120"/>
      <c r="E35" s="177"/>
      <c r="F35" s="120"/>
      <c r="G35" s="177"/>
      <c r="H35" s="120">
        <f t="shared" si="6"/>
        <v>0</v>
      </c>
      <c r="I35" s="234"/>
      <c r="J35" s="234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33"/>
      <c r="Z35" s="133"/>
      <c r="AA35" s="178"/>
      <c r="AB35" s="178"/>
      <c r="AC35" s="120">
        <f t="shared" si="8"/>
        <v>0</v>
      </c>
      <c r="AD35" s="120">
        <f t="shared" si="8"/>
        <v>0</v>
      </c>
      <c r="AE35" s="120"/>
      <c r="AF35" s="233">
        <f t="shared" si="7"/>
        <v>0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345"/>
    </row>
    <row r="36" spans="1:48" ht="28.5" customHeight="1" hidden="1">
      <c r="A36" s="312">
        <v>4614</v>
      </c>
      <c r="B36" s="344" t="s">
        <v>344</v>
      </c>
      <c r="C36" s="133">
        <v>740</v>
      </c>
      <c r="D36" s="120"/>
      <c r="E36" s="177"/>
      <c r="F36" s="120"/>
      <c r="G36" s="177"/>
      <c r="H36" s="120">
        <f t="shared" si="6"/>
        <v>740</v>
      </c>
      <c r="I36" s="234"/>
      <c r="J36" s="239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33"/>
      <c r="Z36" s="133"/>
      <c r="AA36" s="178"/>
      <c r="AB36" s="178"/>
      <c r="AC36" s="120">
        <f t="shared" si="8"/>
        <v>0</v>
      </c>
      <c r="AD36" s="120">
        <f t="shared" si="8"/>
        <v>0</v>
      </c>
      <c r="AE36" s="120"/>
      <c r="AF36" s="233">
        <f t="shared" si="7"/>
        <v>740</v>
      </c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345"/>
    </row>
    <row r="37" spans="1:48" s="168" customFormat="1" ht="38.25" customHeight="1" hidden="1">
      <c r="A37" s="313">
        <v>5232</v>
      </c>
      <c r="B37" s="344" t="s">
        <v>184</v>
      </c>
      <c r="C37" s="133"/>
      <c r="D37" s="181"/>
      <c r="E37" s="177"/>
      <c r="F37" s="181"/>
      <c r="G37" s="177"/>
      <c r="H37" s="181">
        <f t="shared" si="6"/>
        <v>0</v>
      </c>
      <c r="I37" s="235">
        <v>-45</v>
      </c>
      <c r="J37" s="236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33"/>
      <c r="Z37" s="133"/>
      <c r="AA37" s="181"/>
      <c r="AB37" s="181"/>
      <c r="AC37" s="120">
        <f t="shared" si="8"/>
        <v>-45</v>
      </c>
      <c r="AD37" s="120">
        <f t="shared" si="8"/>
        <v>0</v>
      </c>
      <c r="AE37" s="181"/>
      <c r="AF37" s="233">
        <f>H37+AC37+AD37</f>
        <v>-45</v>
      </c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346"/>
    </row>
    <row r="38" spans="1:48" ht="19.5" customHeight="1">
      <c r="A38" s="316"/>
      <c r="B38" s="344" t="s">
        <v>279</v>
      </c>
      <c r="C38" s="133">
        <v>1405347</v>
      </c>
      <c r="D38" s="133">
        <f>SUM(D39:D54)</f>
        <v>0</v>
      </c>
      <c r="E38" s="177"/>
      <c r="F38" s="133">
        <f>SUM(F39:F54)</f>
        <v>0</v>
      </c>
      <c r="G38" s="177"/>
      <c r="H38" s="120">
        <f>C38+F38-D38</f>
        <v>1405347</v>
      </c>
      <c r="I38" s="178">
        <f aca="true" t="shared" si="9" ref="I38:AB38">SUM(I39:I54)</f>
        <v>0</v>
      </c>
      <c r="J38" s="178">
        <f t="shared" si="9"/>
        <v>39421</v>
      </c>
      <c r="K38" s="178">
        <f t="shared" si="9"/>
        <v>48123</v>
      </c>
      <c r="L38" s="178">
        <f t="shared" si="9"/>
        <v>0</v>
      </c>
      <c r="M38" s="178">
        <f t="shared" si="9"/>
        <v>0</v>
      </c>
      <c r="N38" s="178">
        <f t="shared" si="9"/>
        <v>124434</v>
      </c>
      <c r="O38" s="178">
        <f t="shared" si="9"/>
        <v>5220</v>
      </c>
      <c r="P38" s="178">
        <f t="shared" si="9"/>
        <v>0</v>
      </c>
      <c r="Q38" s="178">
        <f t="shared" si="9"/>
        <v>0</v>
      </c>
      <c r="R38" s="178">
        <f t="shared" si="9"/>
        <v>12574</v>
      </c>
      <c r="S38" s="178">
        <f t="shared" si="9"/>
        <v>0</v>
      </c>
      <c r="T38" s="178">
        <f t="shared" si="9"/>
        <v>0</v>
      </c>
      <c r="U38" s="178">
        <f t="shared" si="9"/>
        <v>0</v>
      </c>
      <c r="V38" s="178">
        <f t="shared" si="9"/>
        <v>1128512</v>
      </c>
      <c r="W38" s="178">
        <f t="shared" si="9"/>
        <v>1121861</v>
      </c>
      <c r="X38" s="178">
        <f t="shared" si="9"/>
        <v>0</v>
      </c>
      <c r="Y38" s="178">
        <f t="shared" si="9"/>
        <v>0</v>
      </c>
      <c r="Z38" s="178">
        <f t="shared" si="9"/>
        <v>2226</v>
      </c>
      <c r="AA38" s="178">
        <f t="shared" si="9"/>
        <v>0</v>
      </c>
      <c r="AB38" s="178">
        <f t="shared" si="9"/>
        <v>0</v>
      </c>
      <c r="AC38" s="120">
        <f t="shared" si="8"/>
        <v>1175204</v>
      </c>
      <c r="AD38" s="120">
        <f t="shared" si="8"/>
        <v>1307167</v>
      </c>
      <c r="AE38" s="133">
        <f>SUM(AE39:AE54)</f>
        <v>0</v>
      </c>
      <c r="AF38" s="233">
        <f>H38+AD38-AC38</f>
        <v>1537310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345">
        <v>722393</v>
      </c>
    </row>
    <row r="39" spans="1:48" ht="40.5" customHeight="1" hidden="1">
      <c r="A39" s="312">
        <v>4052</v>
      </c>
      <c r="B39" s="348" t="s">
        <v>280</v>
      </c>
      <c r="C39" s="8">
        <v>239336</v>
      </c>
      <c r="D39" s="3"/>
      <c r="E39" s="68"/>
      <c r="F39" s="3"/>
      <c r="G39" s="68"/>
      <c r="H39" s="3">
        <f aca="true" t="shared" si="10" ref="H39:H54">C39+F39-D39</f>
        <v>239336</v>
      </c>
      <c r="I39" s="240"/>
      <c r="J39" s="241">
        <v>7004</v>
      </c>
      <c r="K39" s="27"/>
      <c r="L39" s="15"/>
      <c r="M39" s="15"/>
      <c r="N39" s="242">
        <v>431</v>
      </c>
      <c r="O39" s="27">
        <v>431</v>
      </c>
      <c r="P39" s="15"/>
      <c r="Q39" s="15"/>
      <c r="R39" s="15">
        <v>1814</v>
      </c>
      <c r="S39" s="15"/>
      <c r="T39" s="15"/>
      <c r="U39" s="15"/>
      <c r="V39" s="15">
        <v>6651</v>
      </c>
      <c r="W39" s="15"/>
      <c r="X39" s="15"/>
      <c r="Y39" s="8"/>
      <c r="Z39" s="8"/>
      <c r="AA39" s="15"/>
      <c r="AB39" s="15"/>
      <c r="AC39" s="3">
        <f t="shared" si="8"/>
        <v>431</v>
      </c>
      <c r="AD39" s="3">
        <f t="shared" si="8"/>
        <v>15900</v>
      </c>
      <c r="AE39" s="3"/>
      <c r="AF39" s="243">
        <f>H39+AD39-AC39</f>
        <v>254805</v>
      </c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349"/>
    </row>
    <row r="40" spans="1:48" ht="48" customHeight="1" hidden="1">
      <c r="A40" s="312">
        <v>4103</v>
      </c>
      <c r="B40" s="348" t="s">
        <v>281</v>
      </c>
      <c r="C40" s="8">
        <v>40625</v>
      </c>
      <c r="D40" s="3"/>
      <c r="E40" s="68"/>
      <c r="F40" s="3"/>
      <c r="G40" s="68"/>
      <c r="H40" s="3">
        <f t="shared" si="10"/>
        <v>40625</v>
      </c>
      <c r="I40" s="240"/>
      <c r="J40" s="241"/>
      <c r="K40" s="26"/>
      <c r="L40" s="15"/>
      <c r="M40" s="15"/>
      <c r="N40" s="244"/>
      <c r="O40" s="26"/>
      <c r="P40" s="15"/>
      <c r="Q40" s="15"/>
      <c r="R40" s="15"/>
      <c r="S40" s="15"/>
      <c r="T40" s="15"/>
      <c r="U40" s="15"/>
      <c r="V40" s="15"/>
      <c r="W40" s="15"/>
      <c r="X40" s="15"/>
      <c r="Y40" s="8"/>
      <c r="Z40" s="8"/>
      <c r="AA40" s="15"/>
      <c r="AB40" s="15"/>
      <c r="AC40" s="3">
        <f t="shared" si="8"/>
        <v>0</v>
      </c>
      <c r="AD40" s="3">
        <f t="shared" si="8"/>
        <v>0</v>
      </c>
      <c r="AE40" s="3"/>
      <c r="AF40" s="243">
        <f aca="true" t="shared" si="11" ref="AF40:AF54">H40+AD40-AC40</f>
        <v>40625</v>
      </c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349"/>
    </row>
    <row r="41" spans="1:48" ht="42.75" customHeight="1" hidden="1">
      <c r="A41" s="315">
        <v>4105</v>
      </c>
      <c r="B41" s="348" t="s">
        <v>35</v>
      </c>
      <c r="C41" s="8"/>
      <c r="D41" s="3"/>
      <c r="E41" s="68"/>
      <c r="F41" s="3"/>
      <c r="G41" s="68"/>
      <c r="H41" s="3">
        <f t="shared" si="10"/>
        <v>0</v>
      </c>
      <c r="I41" s="240"/>
      <c r="J41" s="240"/>
      <c r="K41" s="15"/>
      <c r="L41" s="15"/>
      <c r="M41" s="15"/>
      <c r="N41" s="24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8"/>
      <c r="Z41" s="8"/>
      <c r="AA41" s="15"/>
      <c r="AB41" s="15"/>
      <c r="AC41" s="3">
        <f t="shared" si="8"/>
        <v>0</v>
      </c>
      <c r="AD41" s="3">
        <f t="shared" si="8"/>
        <v>0</v>
      </c>
      <c r="AE41" s="3"/>
      <c r="AF41" s="243">
        <f t="shared" si="11"/>
        <v>0</v>
      </c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349"/>
    </row>
    <row r="42" spans="1:48" ht="42" customHeight="1" hidden="1">
      <c r="A42" s="312">
        <v>4251</v>
      </c>
      <c r="B42" s="348" t="s">
        <v>282</v>
      </c>
      <c r="C42" s="8">
        <v>6735</v>
      </c>
      <c r="D42" s="3"/>
      <c r="E42" s="68"/>
      <c r="F42" s="3"/>
      <c r="G42" s="68"/>
      <c r="H42" s="3">
        <f t="shared" si="10"/>
        <v>6735</v>
      </c>
      <c r="I42" s="240"/>
      <c r="J42" s="240"/>
      <c r="K42" s="15"/>
      <c r="L42" s="15"/>
      <c r="M42" s="15"/>
      <c r="N42" s="24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8"/>
      <c r="Z42" s="8"/>
      <c r="AA42" s="15"/>
      <c r="AB42" s="15"/>
      <c r="AC42" s="3">
        <f t="shared" si="8"/>
        <v>0</v>
      </c>
      <c r="AD42" s="3">
        <f t="shared" si="8"/>
        <v>0</v>
      </c>
      <c r="AE42" s="3"/>
      <c r="AF42" s="243">
        <f t="shared" si="11"/>
        <v>6735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349"/>
    </row>
    <row r="43" spans="1:48" ht="48" customHeight="1" hidden="1">
      <c r="A43" s="312">
        <v>4253</v>
      </c>
      <c r="B43" s="348" t="s">
        <v>283</v>
      </c>
      <c r="C43" s="8">
        <v>23609</v>
      </c>
      <c r="D43" s="3"/>
      <c r="E43" s="68"/>
      <c r="F43" s="3"/>
      <c r="G43" s="68"/>
      <c r="H43" s="3">
        <f t="shared" si="10"/>
        <v>23609</v>
      </c>
      <c r="I43" s="240"/>
      <c r="J43" s="240"/>
      <c r="K43" s="15"/>
      <c r="L43" s="15"/>
      <c r="M43" s="15"/>
      <c r="N43" s="24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8"/>
      <c r="Z43" s="8"/>
      <c r="AA43" s="15"/>
      <c r="AB43" s="15"/>
      <c r="AC43" s="3">
        <f t="shared" si="8"/>
        <v>0</v>
      </c>
      <c r="AD43" s="3">
        <f t="shared" si="8"/>
        <v>0</v>
      </c>
      <c r="AE43" s="3"/>
      <c r="AF43" s="243">
        <f t="shared" si="11"/>
        <v>23609</v>
      </c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349"/>
    </row>
    <row r="44" spans="1:48" ht="49.5" customHeight="1" hidden="1">
      <c r="A44" s="312">
        <v>4254</v>
      </c>
      <c r="B44" s="348" t="s">
        <v>289</v>
      </c>
      <c r="C44" s="8">
        <v>560053</v>
      </c>
      <c r="D44" s="3"/>
      <c r="E44" s="68"/>
      <c r="F44" s="3"/>
      <c r="G44" s="68"/>
      <c r="H44" s="3">
        <f t="shared" si="10"/>
        <v>560053</v>
      </c>
      <c r="I44" s="240"/>
      <c r="J44" s="240">
        <v>6981</v>
      </c>
      <c r="K44" s="27">
        <v>19526</v>
      </c>
      <c r="L44" s="15"/>
      <c r="M44" s="15"/>
      <c r="N44" s="244">
        <v>31692</v>
      </c>
      <c r="O44" s="27"/>
      <c r="P44" s="15"/>
      <c r="Q44" s="15"/>
      <c r="R44" s="15"/>
      <c r="S44" s="15"/>
      <c r="T44" s="15"/>
      <c r="U44" s="15"/>
      <c r="V44" s="15"/>
      <c r="W44" s="15"/>
      <c r="X44" s="15"/>
      <c r="Y44" s="8"/>
      <c r="Z44" s="8">
        <f>304</f>
        <v>304</v>
      </c>
      <c r="AA44" s="15"/>
      <c r="AB44" s="15"/>
      <c r="AC44" s="3">
        <f t="shared" si="8"/>
        <v>19526</v>
      </c>
      <c r="AD44" s="3">
        <f t="shared" si="8"/>
        <v>38977</v>
      </c>
      <c r="AE44" s="3"/>
      <c r="AF44" s="243">
        <f t="shared" si="11"/>
        <v>579504</v>
      </c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349"/>
    </row>
    <row r="45" spans="1:48" ht="49.5" customHeight="1" hidden="1">
      <c r="A45" s="312">
        <v>4255</v>
      </c>
      <c r="B45" s="348" t="s">
        <v>182</v>
      </c>
      <c r="C45" s="8">
        <v>72803</v>
      </c>
      <c r="D45" s="3"/>
      <c r="E45" s="68"/>
      <c r="F45" s="3"/>
      <c r="G45" s="68"/>
      <c r="H45" s="3">
        <f t="shared" si="10"/>
        <v>72803</v>
      </c>
      <c r="I45" s="240"/>
      <c r="J45" s="240"/>
      <c r="K45" s="38"/>
      <c r="L45" s="15"/>
      <c r="M45" s="15"/>
      <c r="N45" s="244"/>
      <c r="O45" s="38"/>
      <c r="P45" s="15"/>
      <c r="Q45" s="15"/>
      <c r="R45" s="15"/>
      <c r="S45" s="15"/>
      <c r="T45" s="15"/>
      <c r="U45" s="15"/>
      <c r="V45" s="15">
        <v>1121861</v>
      </c>
      <c r="W45" s="15">
        <v>1121861</v>
      </c>
      <c r="X45" s="15"/>
      <c r="Y45" s="8"/>
      <c r="Z45" s="8"/>
      <c r="AA45" s="15"/>
      <c r="AB45" s="15"/>
      <c r="AC45" s="3">
        <f t="shared" si="8"/>
        <v>1121861</v>
      </c>
      <c r="AD45" s="3">
        <f t="shared" si="8"/>
        <v>1121861</v>
      </c>
      <c r="AE45" s="3"/>
      <c r="AF45" s="243">
        <f t="shared" si="11"/>
        <v>72803</v>
      </c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349"/>
    </row>
    <row r="46" spans="1:48" ht="33.75" hidden="1">
      <c r="A46" s="312">
        <v>4265</v>
      </c>
      <c r="B46" s="348" t="s">
        <v>101</v>
      </c>
      <c r="C46" s="8">
        <v>21229</v>
      </c>
      <c r="D46" s="3"/>
      <c r="E46" s="68"/>
      <c r="F46" s="3"/>
      <c r="G46" s="68"/>
      <c r="H46" s="3">
        <f t="shared" si="10"/>
        <v>21229</v>
      </c>
      <c r="I46" s="240"/>
      <c r="J46" s="240"/>
      <c r="K46" s="38"/>
      <c r="L46" s="15"/>
      <c r="M46" s="15"/>
      <c r="N46" s="244"/>
      <c r="O46" s="38"/>
      <c r="P46" s="15"/>
      <c r="Q46" s="15"/>
      <c r="R46" s="15"/>
      <c r="S46" s="15"/>
      <c r="T46" s="15"/>
      <c r="U46" s="15"/>
      <c r="V46" s="15"/>
      <c r="W46" s="15"/>
      <c r="X46" s="15"/>
      <c r="Y46" s="8"/>
      <c r="Z46" s="8"/>
      <c r="AA46" s="15"/>
      <c r="AB46" s="15"/>
      <c r="AC46" s="3">
        <f t="shared" si="8"/>
        <v>0</v>
      </c>
      <c r="AD46" s="3">
        <f t="shared" si="8"/>
        <v>0</v>
      </c>
      <c r="AE46" s="3"/>
      <c r="AF46" s="243">
        <f t="shared" si="11"/>
        <v>21229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349"/>
    </row>
    <row r="47" spans="1:48" ht="37.5" customHeight="1" hidden="1">
      <c r="A47" s="315">
        <v>4266</v>
      </c>
      <c r="B47" s="348" t="s">
        <v>36</v>
      </c>
      <c r="C47" s="8"/>
      <c r="D47" s="3"/>
      <c r="E47" s="68"/>
      <c r="F47" s="3"/>
      <c r="G47" s="68"/>
      <c r="H47" s="3">
        <f t="shared" si="10"/>
        <v>0</v>
      </c>
      <c r="I47" s="240"/>
      <c r="J47" s="240"/>
      <c r="K47" s="15"/>
      <c r="L47" s="15"/>
      <c r="M47" s="15"/>
      <c r="N47" s="24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8"/>
      <c r="Z47" s="8"/>
      <c r="AA47" s="15"/>
      <c r="AB47" s="15"/>
      <c r="AC47" s="3">
        <f t="shared" si="8"/>
        <v>0</v>
      </c>
      <c r="AD47" s="3">
        <f t="shared" si="8"/>
        <v>0</v>
      </c>
      <c r="AE47" s="3"/>
      <c r="AF47" s="243">
        <f t="shared" si="11"/>
        <v>0</v>
      </c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349"/>
    </row>
    <row r="48" spans="1:48" ht="50.25" customHeight="1" hidden="1">
      <c r="A48" s="315">
        <v>4270</v>
      </c>
      <c r="B48" s="348" t="s">
        <v>37</v>
      </c>
      <c r="C48" s="8"/>
      <c r="D48" s="3"/>
      <c r="E48" s="68"/>
      <c r="F48" s="3"/>
      <c r="G48" s="68"/>
      <c r="H48" s="3">
        <f t="shared" si="10"/>
        <v>0</v>
      </c>
      <c r="I48" s="240"/>
      <c r="J48" s="240"/>
      <c r="K48" s="15"/>
      <c r="L48" s="15"/>
      <c r="M48" s="15"/>
      <c r="N48" s="24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8"/>
      <c r="Z48" s="8"/>
      <c r="AA48" s="15"/>
      <c r="AB48" s="15"/>
      <c r="AC48" s="3">
        <f t="shared" si="8"/>
        <v>0</v>
      </c>
      <c r="AD48" s="3">
        <f t="shared" si="8"/>
        <v>0</v>
      </c>
      <c r="AE48" s="3"/>
      <c r="AF48" s="243">
        <f t="shared" si="11"/>
        <v>0</v>
      </c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349"/>
    </row>
    <row r="49" spans="1:48" ht="38.25" customHeight="1" hidden="1">
      <c r="A49" s="312">
        <v>4302</v>
      </c>
      <c r="B49" s="348" t="s">
        <v>284</v>
      </c>
      <c r="C49" s="8">
        <v>21376</v>
      </c>
      <c r="D49" s="3"/>
      <c r="E49" s="68"/>
      <c r="F49" s="3"/>
      <c r="G49" s="68"/>
      <c r="H49" s="3">
        <f t="shared" si="10"/>
        <v>21376</v>
      </c>
      <c r="I49" s="240"/>
      <c r="J49" s="240">
        <v>152</v>
      </c>
      <c r="K49" s="15">
        <v>28597</v>
      </c>
      <c r="L49" s="15"/>
      <c r="M49" s="15"/>
      <c r="N49" s="244"/>
      <c r="O49" s="15"/>
      <c r="P49" s="15"/>
      <c r="Q49" s="15"/>
      <c r="R49" s="15">
        <v>10760</v>
      </c>
      <c r="S49" s="15"/>
      <c r="T49" s="15"/>
      <c r="U49" s="15"/>
      <c r="V49" s="15"/>
      <c r="W49" s="15"/>
      <c r="X49" s="15"/>
      <c r="Y49" s="8"/>
      <c r="Z49" s="8"/>
      <c r="AA49" s="15"/>
      <c r="AB49" s="15"/>
      <c r="AC49" s="3">
        <f t="shared" si="8"/>
        <v>28597</v>
      </c>
      <c r="AD49" s="3">
        <f t="shared" si="8"/>
        <v>10912</v>
      </c>
      <c r="AE49" s="3"/>
      <c r="AF49" s="243">
        <f t="shared" si="11"/>
        <v>3691</v>
      </c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349"/>
    </row>
    <row r="50" spans="1:48" ht="42" customHeight="1" hidden="1">
      <c r="A50" s="312">
        <v>4303</v>
      </c>
      <c r="B50" s="348" t="s">
        <v>285</v>
      </c>
      <c r="C50" s="8">
        <v>21</v>
      </c>
      <c r="D50" s="3"/>
      <c r="E50" s="68"/>
      <c r="F50" s="3"/>
      <c r="G50" s="68"/>
      <c r="H50" s="3">
        <f t="shared" si="10"/>
        <v>21</v>
      </c>
      <c r="I50" s="240"/>
      <c r="J50" s="240">
        <v>21467</v>
      </c>
      <c r="K50" s="15"/>
      <c r="L50" s="15"/>
      <c r="M50" s="15"/>
      <c r="N50" s="24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8"/>
      <c r="Z50" s="8"/>
      <c r="AA50" s="15"/>
      <c r="AB50" s="15"/>
      <c r="AC50" s="3">
        <f t="shared" si="8"/>
        <v>0</v>
      </c>
      <c r="AD50" s="3">
        <f t="shared" si="8"/>
        <v>21467</v>
      </c>
      <c r="AE50" s="3"/>
      <c r="AF50" s="243">
        <f t="shared" si="11"/>
        <v>21488</v>
      </c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349"/>
    </row>
    <row r="51" spans="1:48" ht="42" customHeight="1" hidden="1">
      <c r="A51" s="312">
        <v>4304</v>
      </c>
      <c r="B51" s="348" t="s">
        <v>391</v>
      </c>
      <c r="C51" s="8">
        <v>2743</v>
      </c>
      <c r="D51" s="3"/>
      <c r="E51" s="68"/>
      <c r="F51" s="3"/>
      <c r="G51" s="68"/>
      <c r="H51" s="3">
        <f t="shared" si="10"/>
        <v>2743</v>
      </c>
      <c r="I51" s="240"/>
      <c r="J51" s="240"/>
      <c r="K51" s="15"/>
      <c r="L51" s="15"/>
      <c r="M51" s="15"/>
      <c r="N51" s="24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8"/>
      <c r="Z51" s="8"/>
      <c r="AA51" s="15"/>
      <c r="AB51" s="15"/>
      <c r="AC51" s="3">
        <f t="shared" si="8"/>
        <v>0</v>
      </c>
      <c r="AD51" s="3">
        <f t="shared" si="8"/>
        <v>0</v>
      </c>
      <c r="AE51" s="3"/>
      <c r="AF51" s="243">
        <f t="shared" si="11"/>
        <v>2743</v>
      </c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349"/>
    </row>
    <row r="52" spans="1:48" ht="42" customHeight="1" hidden="1">
      <c r="A52" s="312">
        <v>4309</v>
      </c>
      <c r="B52" s="348" t="s">
        <v>584</v>
      </c>
      <c r="C52" s="8">
        <v>372</v>
      </c>
      <c r="D52" s="3"/>
      <c r="E52" s="68"/>
      <c r="F52" s="3"/>
      <c r="G52" s="68"/>
      <c r="H52" s="3">
        <f t="shared" si="10"/>
        <v>372</v>
      </c>
      <c r="I52" s="240"/>
      <c r="J52" s="240"/>
      <c r="K52" s="15"/>
      <c r="L52" s="15"/>
      <c r="M52" s="15"/>
      <c r="N52" s="24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8"/>
      <c r="Z52" s="8"/>
      <c r="AA52" s="15"/>
      <c r="AB52" s="15"/>
      <c r="AC52" s="3">
        <f t="shared" si="8"/>
        <v>0</v>
      </c>
      <c r="AD52" s="3">
        <f t="shared" si="8"/>
        <v>0</v>
      </c>
      <c r="AE52" s="3"/>
      <c r="AF52" s="243">
        <f t="shared" si="11"/>
        <v>372</v>
      </c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349"/>
    </row>
    <row r="53" spans="1:48" ht="42" customHeight="1" hidden="1">
      <c r="A53" s="315">
        <v>4312</v>
      </c>
      <c r="B53" s="348" t="s">
        <v>38</v>
      </c>
      <c r="C53" s="8"/>
      <c r="D53" s="3"/>
      <c r="E53" s="68"/>
      <c r="F53" s="3"/>
      <c r="G53" s="68"/>
      <c r="H53" s="3">
        <f t="shared" si="10"/>
        <v>0</v>
      </c>
      <c r="I53" s="240"/>
      <c r="J53" s="240"/>
      <c r="K53" s="15"/>
      <c r="L53" s="15"/>
      <c r="M53" s="15"/>
      <c r="N53" s="24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8"/>
      <c r="Z53" s="8"/>
      <c r="AA53" s="15"/>
      <c r="AB53" s="15"/>
      <c r="AC53" s="3">
        <f t="shared" si="8"/>
        <v>0</v>
      </c>
      <c r="AD53" s="3">
        <f t="shared" si="8"/>
        <v>0</v>
      </c>
      <c r="AE53" s="3"/>
      <c r="AF53" s="243">
        <f t="shared" si="11"/>
        <v>0</v>
      </c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349"/>
    </row>
    <row r="54" spans="1:48" ht="36" customHeight="1" hidden="1">
      <c r="A54" s="312">
        <v>4465</v>
      </c>
      <c r="B54" s="348" t="s">
        <v>286</v>
      </c>
      <c r="C54" s="8">
        <v>459541</v>
      </c>
      <c r="D54" s="3"/>
      <c r="E54" s="68"/>
      <c r="F54" s="3"/>
      <c r="G54" s="68"/>
      <c r="H54" s="3">
        <f t="shared" si="10"/>
        <v>459541</v>
      </c>
      <c r="I54" s="245"/>
      <c r="J54" s="246">
        <v>3817</v>
      </c>
      <c r="K54" s="26"/>
      <c r="L54" s="15"/>
      <c r="M54" s="15"/>
      <c r="N54" s="244">
        <v>92311</v>
      </c>
      <c r="O54" s="26">
        <v>4789</v>
      </c>
      <c r="P54" s="15"/>
      <c r="Q54" s="15"/>
      <c r="R54" s="15"/>
      <c r="S54" s="15"/>
      <c r="T54" s="15"/>
      <c r="U54" s="15"/>
      <c r="V54" s="15"/>
      <c r="W54" s="15"/>
      <c r="X54" s="15"/>
      <c r="Y54" s="8"/>
      <c r="Z54" s="8">
        <f>1922</f>
        <v>1922</v>
      </c>
      <c r="AA54" s="15"/>
      <c r="AB54" s="15"/>
      <c r="AC54" s="3">
        <f t="shared" si="8"/>
        <v>4789</v>
      </c>
      <c r="AD54" s="3">
        <f t="shared" si="8"/>
        <v>98050</v>
      </c>
      <c r="AE54" s="3"/>
      <c r="AF54" s="243">
        <f t="shared" si="11"/>
        <v>552802</v>
      </c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349"/>
    </row>
    <row r="55" spans="1:48" ht="19.5" customHeight="1">
      <c r="A55" s="317"/>
      <c r="B55" s="342" t="s">
        <v>565</v>
      </c>
      <c r="C55" s="228">
        <f>C56+C78+C96+C101</f>
        <v>-32145081</v>
      </c>
      <c r="D55" s="229">
        <f>D56+D78+D96+D101</f>
        <v>-877961</v>
      </c>
      <c r="E55" s="68"/>
      <c r="F55" s="229">
        <f>F56+F78+F96+F101</f>
        <v>0</v>
      </c>
      <c r="G55" s="68"/>
      <c r="H55" s="247">
        <f>C55+D55-F55</f>
        <v>-33023042</v>
      </c>
      <c r="I55" s="230">
        <f aca="true" t="shared" si="12" ref="I55:Q55">I56+I78+I96+I101</f>
        <v>-199975</v>
      </c>
      <c r="J55" s="230">
        <f t="shared" si="12"/>
        <v>0</v>
      </c>
      <c r="K55" s="230">
        <f t="shared" si="12"/>
        <v>0</v>
      </c>
      <c r="L55" s="230">
        <f t="shared" si="12"/>
        <v>-48123</v>
      </c>
      <c r="M55" s="230">
        <f t="shared" si="12"/>
        <v>-13914</v>
      </c>
      <c r="N55" s="230">
        <f t="shared" si="12"/>
        <v>0</v>
      </c>
      <c r="O55" s="230">
        <f>O56+O78+O96+O101</f>
        <v>0</v>
      </c>
      <c r="P55" s="230">
        <f t="shared" si="12"/>
        <v>-243</v>
      </c>
      <c r="Q55" s="230">
        <f t="shared" si="12"/>
        <v>-30736</v>
      </c>
      <c r="R55" s="230">
        <f>(R56+R78+R96+R101)</f>
        <v>12269</v>
      </c>
      <c r="S55" s="230">
        <f aca="true" t="shared" si="13" ref="S55:X55">S56+S78+S96+S101</f>
        <v>0</v>
      </c>
      <c r="T55" s="230">
        <f t="shared" si="13"/>
        <v>0</v>
      </c>
      <c r="U55" s="230">
        <f t="shared" si="13"/>
        <v>-1105196</v>
      </c>
      <c r="V55" s="230">
        <f t="shared" si="13"/>
        <v>0</v>
      </c>
      <c r="W55" s="230">
        <f t="shared" si="13"/>
        <v>0</v>
      </c>
      <c r="X55" s="230">
        <f t="shared" si="13"/>
        <v>-1121861</v>
      </c>
      <c r="Y55" s="230">
        <f>Y56+Y78+Y96+Y101</f>
        <v>0</v>
      </c>
      <c r="Z55" s="230">
        <f>Z56+Z78+Z96+Z101</f>
        <v>0</v>
      </c>
      <c r="AA55" s="230">
        <f>AA56+AA78+AA96+AA101</f>
        <v>0</v>
      </c>
      <c r="AB55" s="230">
        <f>AB56+AB78+AB96+AB101</f>
        <v>0</v>
      </c>
      <c r="AC55" s="229">
        <f t="shared" si="8"/>
        <v>-1349821</v>
      </c>
      <c r="AD55" s="229">
        <f t="shared" si="8"/>
        <v>-1157958</v>
      </c>
      <c r="AE55" s="229">
        <f>AE56+AE78+AE96+AE101</f>
        <v>0</v>
      </c>
      <c r="AF55" s="229">
        <f>AF56+AF78+AF96+AF101</f>
        <v>-33190429</v>
      </c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343">
        <f>AV56+AV78+AV96+AV101</f>
        <v>-14748798</v>
      </c>
    </row>
    <row r="56" spans="1:48" ht="19.5" customHeight="1">
      <c r="A56" s="316"/>
      <c r="B56" s="347" t="s">
        <v>483</v>
      </c>
      <c r="C56" s="133">
        <v>-11269050</v>
      </c>
      <c r="D56" s="181">
        <f>SUM(D57:D77)</f>
        <v>-4932</v>
      </c>
      <c r="E56" s="248"/>
      <c r="F56" s="181">
        <f>SUM(F57:F77)</f>
        <v>0</v>
      </c>
      <c r="G56" s="177"/>
      <c r="H56" s="180">
        <f>C56+D56-F56</f>
        <v>-11273982</v>
      </c>
      <c r="I56" s="178">
        <f aca="true" t="shared" si="14" ref="I56:X56">SUM(I57:I77)</f>
        <v>-110290</v>
      </c>
      <c r="J56" s="178">
        <f t="shared" si="14"/>
        <v>0</v>
      </c>
      <c r="K56" s="178">
        <f t="shared" si="14"/>
        <v>0</v>
      </c>
      <c r="L56" s="178">
        <f t="shared" si="14"/>
        <v>-19526</v>
      </c>
      <c r="M56" s="178">
        <f t="shared" si="14"/>
        <v>0</v>
      </c>
      <c r="N56" s="178">
        <f t="shared" si="14"/>
        <v>0</v>
      </c>
      <c r="O56" s="178">
        <f t="shared" si="14"/>
        <v>0</v>
      </c>
      <c r="P56" s="178">
        <f t="shared" si="14"/>
        <v>-431</v>
      </c>
      <c r="Q56" s="178">
        <f t="shared" si="14"/>
        <v>-11323</v>
      </c>
      <c r="R56" s="178">
        <f t="shared" si="14"/>
        <v>0</v>
      </c>
      <c r="S56" s="178">
        <f t="shared" si="14"/>
        <v>0</v>
      </c>
      <c r="T56" s="178">
        <f t="shared" si="14"/>
        <v>0</v>
      </c>
      <c r="U56" s="178">
        <f t="shared" si="14"/>
        <v>0</v>
      </c>
      <c r="V56" s="178">
        <f t="shared" si="14"/>
        <v>0</v>
      </c>
      <c r="W56" s="178">
        <f t="shared" si="14"/>
        <v>0</v>
      </c>
      <c r="X56" s="178">
        <f t="shared" si="14"/>
        <v>-932335</v>
      </c>
      <c r="Y56" s="178">
        <f>SUM(Y57:Y77)</f>
        <v>0</v>
      </c>
      <c r="Z56" s="178">
        <f>SUM(Z57:Z77)</f>
        <v>0</v>
      </c>
      <c r="AA56" s="178">
        <f>SUM(AA57:AA77)</f>
        <v>0</v>
      </c>
      <c r="AB56" s="178">
        <f>SUM(AB57:AB77)</f>
        <v>0</v>
      </c>
      <c r="AC56" s="120">
        <f t="shared" si="8"/>
        <v>-121613</v>
      </c>
      <c r="AD56" s="120">
        <f t="shared" si="8"/>
        <v>-952292</v>
      </c>
      <c r="AE56" s="181">
        <f>SUM(AE57:AE77)</f>
        <v>0</v>
      </c>
      <c r="AF56" s="236">
        <f>H56+AC56-AD56</f>
        <v>-10443303</v>
      </c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345">
        <v>-5101029</v>
      </c>
    </row>
    <row r="57" spans="1:48" ht="38.25" customHeight="1" hidden="1">
      <c r="A57" s="313">
        <v>5203</v>
      </c>
      <c r="B57" s="344" t="s">
        <v>382</v>
      </c>
      <c r="C57" s="185">
        <v>-306096</v>
      </c>
      <c r="D57" s="181"/>
      <c r="E57" s="177"/>
      <c r="F57" s="181"/>
      <c r="G57" s="177"/>
      <c r="H57" s="181">
        <f aca="true" t="shared" si="15" ref="H57:H107">C57+D57-F57</f>
        <v>-306096</v>
      </c>
      <c r="I57" s="235">
        <v>-8417</v>
      </c>
      <c r="J57" s="249"/>
      <c r="K57" s="178"/>
      <c r="L57" s="178"/>
      <c r="M57" s="178"/>
      <c r="N57" s="250"/>
      <c r="O57" s="178"/>
      <c r="P57" s="178">
        <v>-431</v>
      </c>
      <c r="Q57" s="178">
        <v>-1118</v>
      </c>
      <c r="R57" s="178"/>
      <c r="S57" s="178"/>
      <c r="T57" s="178"/>
      <c r="U57" s="178"/>
      <c r="V57" s="178"/>
      <c r="W57" s="178"/>
      <c r="X57" s="178"/>
      <c r="Y57" s="133"/>
      <c r="Z57" s="133"/>
      <c r="AA57" s="178"/>
      <c r="AB57" s="178"/>
      <c r="AC57" s="120">
        <f t="shared" si="8"/>
        <v>-9535</v>
      </c>
      <c r="AD57" s="120">
        <f t="shared" si="8"/>
        <v>-431</v>
      </c>
      <c r="AE57" s="120"/>
      <c r="AF57" s="236">
        <f>H57+AC57-AD57</f>
        <v>-315200</v>
      </c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345"/>
    </row>
    <row r="58" spans="1:48" ht="38.25" customHeight="1" hidden="1">
      <c r="A58" s="313">
        <v>5211</v>
      </c>
      <c r="B58" s="344" t="s">
        <v>383</v>
      </c>
      <c r="C58" s="185">
        <v>-3</v>
      </c>
      <c r="D58" s="181"/>
      <c r="E58" s="177"/>
      <c r="F58" s="181"/>
      <c r="G58" s="177"/>
      <c r="H58" s="181">
        <f t="shared" si="15"/>
        <v>-3</v>
      </c>
      <c r="I58" s="235"/>
      <c r="J58" s="251"/>
      <c r="K58" s="178"/>
      <c r="L58" s="179"/>
      <c r="M58" s="178"/>
      <c r="N58" s="250"/>
      <c r="O58" s="178"/>
      <c r="P58" s="179"/>
      <c r="Q58" s="179">
        <v>-70</v>
      </c>
      <c r="R58" s="179"/>
      <c r="S58" s="179"/>
      <c r="T58" s="179"/>
      <c r="U58" s="179"/>
      <c r="V58" s="179"/>
      <c r="W58" s="179"/>
      <c r="X58" s="179"/>
      <c r="Y58" s="133"/>
      <c r="Z58" s="133"/>
      <c r="AA58" s="179"/>
      <c r="AB58" s="179"/>
      <c r="AC58" s="120">
        <f t="shared" si="8"/>
        <v>-70</v>
      </c>
      <c r="AD58" s="120">
        <f t="shared" si="8"/>
        <v>0</v>
      </c>
      <c r="AE58" s="120"/>
      <c r="AF58" s="236">
        <f aca="true" t="shared" si="16" ref="AF58:AF77">H58+AC58-AD58</f>
        <v>-73</v>
      </c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345"/>
    </row>
    <row r="59" spans="1:48" ht="37.5" customHeight="1" hidden="1">
      <c r="A59" s="318">
        <v>5212</v>
      </c>
      <c r="B59" s="344" t="s">
        <v>59</v>
      </c>
      <c r="C59" s="132"/>
      <c r="D59" s="181"/>
      <c r="E59" s="177"/>
      <c r="F59" s="181"/>
      <c r="G59" s="177"/>
      <c r="H59" s="181">
        <f t="shared" si="15"/>
        <v>0</v>
      </c>
      <c r="I59" s="235"/>
      <c r="J59" s="251"/>
      <c r="K59" s="178"/>
      <c r="L59" s="178"/>
      <c r="M59" s="178"/>
      <c r="N59" s="250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33"/>
      <c r="Z59" s="133"/>
      <c r="AA59" s="178"/>
      <c r="AB59" s="178"/>
      <c r="AC59" s="120">
        <f t="shared" si="8"/>
        <v>0</v>
      </c>
      <c r="AD59" s="120">
        <f t="shared" si="8"/>
        <v>0</v>
      </c>
      <c r="AE59" s="120"/>
      <c r="AF59" s="236">
        <f t="shared" si="16"/>
        <v>0</v>
      </c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345"/>
    </row>
    <row r="60" spans="1:48" ht="37.5" customHeight="1" hidden="1">
      <c r="A60" s="313">
        <v>5215</v>
      </c>
      <c r="B60" s="344" t="s">
        <v>384</v>
      </c>
      <c r="C60" s="185">
        <v>-4582858</v>
      </c>
      <c r="D60" s="181">
        <f>-4932</f>
        <v>-4932</v>
      </c>
      <c r="E60" s="177" t="s">
        <v>198</v>
      </c>
      <c r="F60" s="181"/>
      <c r="G60" s="177"/>
      <c r="H60" s="181">
        <f t="shared" si="15"/>
        <v>-4587790</v>
      </c>
      <c r="I60" s="252">
        <v>-81866</v>
      </c>
      <c r="J60" s="251"/>
      <c r="K60" s="178"/>
      <c r="L60" s="178"/>
      <c r="M60" s="178"/>
      <c r="N60" s="193"/>
      <c r="O60" s="178"/>
      <c r="P60" s="178"/>
      <c r="Q60" s="178">
        <v>-3485</v>
      </c>
      <c r="R60" s="178"/>
      <c r="S60" s="178"/>
      <c r="T60" s="178"/>
      <c r="U60" s="178"/>
      <c r="V60" s="178"/>
      <c r="W60" s="178"/>
      <c r="X60" s="178"/>
      <c r="Y60" s="133"/>
      <c r="Z60" s="133"/>
      <c r="AA60" s="178"/>
      <c r="AB60" s="178"/>
      <c r="AC60" s="120">
        <f t="shared" si="8"/>
        <v>-85351</v>
      </c>
      <c r="AD60" s="120">
        <f t="shared" si="8"/>
        <v>0</v>
      </c>
      <c r="AE60" s="120"/>
      <c r="AF60" s="236">
        <f t="shared" si="16"/>
        <v>-4673141</v>
      </c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345"/>
    </row>
    <row r="61" spans="1:48" ht="37.5" customHeight="1" hidden="1">
      <c r="A61" s="313">
        <v>5217</v>
      </c>
      <c r="B61" s="344" t="s">
        <v>385</v>
      </c>
      <c r="C61" s="185">
        <v>-3781493</v>
      </c>
      <c r="D61" s="181"/>
      <c r="E61" s="177"/>
      <c r="F61" s="181"/>
      <c r="G61" s="177"/>
      <c r="H61" s="181">
        <f t="shared" si="15"/>
        <v>-3781493</v>
      </c>
      <c r="I61" s="252"/>
      <c r="J61" s="249"/>
      <c r="K61" s="178"/>
      <c r="L61" s="178"/>
      <c r="M61" s="178"/>
      <c r="N61" s="250"/>
      <c r="O61" s="178"/>
      <c r="P61" s="178"/>
      <c r="Q61" s="178">
        <v>-4840</v>
      </c>
      <c r="R61" s="178"/>
      <c r="S61" s="178"/>
      <c r="T61" s="178"/>
      <c r="U61" s="178"/>
      <c r="V61" s="178"/>
      <c r="W61" s="178"/>
      <c r="X61" s="178"/>
      <c r="Y61" s="133"/>
      <c r="Z61" s="133"/>
      <c r="AA61" s="178"/>
      <c r="AB61" s="178"/>
      <c r="AC61" s="120">
        <f t="shared" si="8"/>
        <v>-4840</v>
      </c>
      <c r="AD61" s="120">
        <f t="shared" si="8"/>
        <v>0</v>
      </c>
      <c r="AE61" s="120"/>
      <c r="AF61" s="236">
        <f t="shared" si="16"/>
        <v>-3786333</v>
      </c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345"/>
    </row>
    <row r="62" spans="1:48" ht="39" customHeight="1" hidden="1">
      <c r="A62" s="313">
        <v>5219</v>
      </c>
      <c r="B62" s="344" t="s">
        <v>386</v>
      </c>
      <c r="C62" s="185">
        <v>-571</v>
      </c>
      <c r="D62" s="181"/>
      <c r="E62" s="177"/>
      <c r="F62" s="181"/>
      <c r="G62" s="177"/>
      <c r="H62" s="181">
        <f t="shared" si="15"/>
        <v>-571</v>
      </c>
      <c r="I62" s="252"/>
      <c r="J62" s="249"/>
      <c r="K62" s="178"/>
      <c r="L62" s="178"/>
      <c r="M62" s="178"/>
      <c r="N62" s="250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33"/>
      <c r="Z62" s="133"/>
      <c r="AA62" s="178"/>
      <c r="AB62" s="178"/>
      <c r="AC62" s="120">
        <f t="shared" si="8"/>
        <v>0</v>
      </c>
      <c r="AD62" s="120">
        <f t="shared" si="8"/>
        <v>0</v>
      </c>
      <c r="AE62" s="120"/>
      <c r="AF62" s="236">
        <f t="shared" si="16"/>
        <v>-571</v>
      </c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345"/>
    </row>
    <row r="63" spans="1:48" ht="33" customHeight="1" hidden="1">
      <c r="A63" s="313">
        <v>5221</v>
      </c>
      <c r="B63" s="344" t="s">
        <v>387</v>
      </c>
      <c r="C63" s="185">
        <v>-4738</v>
      </c>
      <c r="D63" s="181"/>
      <c r="E63" s="177"/>
      <c r="F63" s="181"/>
      <c r="G63" s="177"/>
      <c r="H63" s="181">
        <f t="shared" si="15"/>
        <v>-4738</v>
      </c>
      <c r="I63" s="252"/>
      <c r="J63" s="249"/>
      <c r="K63" s="178"/>
      <c r="L63" s="178"/>
      <c r="M63" s="178"/>
      <c r="N63" s="250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33"/>
      <c r="Z63" s="133"/>
      <c r="AA63" s="178"/>
      <c r="AB63" s="178"/>
      <c r="AC63" s="120">
        <f t="shared" si="8"/>
        <v>0</v>
      </c>
      <c r="AD63" s="120">
        <f t="shared" si="8"/>
        <v>0</v>
      </c>
      <c r="AE63" s="120"/>
      <c r="AF63" s="236">
        <f t="shared" si="16"/>
        <v>-4738</v>
      </c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345"/>
    </row>
    <row r="64" spans="1:48" ht="48" customHeight="1" hidden="1">
      <c r="A64" s="313">
        <v>5223</v>
      </c>
      <c r="B64" s="344" t="s">
        <v>394</v>
      </c>
      <c r="C64" s="185">
        <v>-1407487</v>
      </c>
      <c r="D64" s="181"/>
      <c r="E64" s="177"/>
      <c r="F64" s="181"/>
      <c r="G64" s="177"/>
      <c r="H64" s="181">
        <f t="shared" si="15"/>
        <v>-1407487</v>
      </c>
      <c r="I64" s="252"/>
      <c r="J64" s="249"/>
      <c r="K64" s="178"/>
      <c r="L64" s="178"/>
      <c r="M64" s="178"/>
      <c r="N64" s="250"/>
      <c r="O64" s="178"/>
      <c r="P64" s="178"/>
      <c r="Q64" s="178"/>
      <c r="R64" s="178"/>
      <c r="S64" s="178"/>
      <c r="T64" s="178"/>
      <c r="U64" s="178"/>
      <c r="V64" s="178"/>
      <c r="W64" s="178"/>
      <c r="X64" s="178">
        <v>-932335</v>
      </c>
      <c r="Y64" s="133"/>
      <c r="Z64" s="133"/>
      <c r="AA64" s="178"/>
      <c r="AB64" s="178"/>
      <c r="AC64" s="120">
        <f t="shared" si="8"/>
        <v>0</v>
      </c>
      <c r="AD64" s="120">
        <f t="shared" si="8"/>
        <v>-932335</v>
      </c>
      <c r="AE64" s="120"/>
      <c r="AF64" s="236">
        <f t="shared" si="16"/>
        <v>-475152</v>
      </c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345"/>
    </row>
    <row r="65" spans="1:48" ht="43.5" customHeight="1" hidden="1">
      <c r="A65" s="313">
        <v>5229</v>
      </c>
      <c r="B65" s="344" t="s">
        <v>395</v>
      </c>
      <c r="C65" s="185"/>
      <c r="D65" s="181"/>
      <c r="E65" s="177"/>
      <c r="F65" s="181"/>
      <c r="G65" s="177"/>
      <c r="H65" s="181">
        <f t="shared" si="15"/>
        <v>0</v>
      </c>
      <c r="I65" s="252"/>
      <c r="J65" s="249"/>
      <c r="K65" s="178"/>
      <c r="L65" s="178"/>
      <c r="M65" s="178"/>
      <c r="N65" s="250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33"/>
      <c r="Z65" s="133"/>
      <c r="AA65" s="178"/>
      <c r="AB65" s="178"/>
      <c r="AC65" s="120">
        <f t="shared" si="8"/>
        <v>0</v>
      </c>
      <c r="AD65" s="120">
        <f t="shared" si="8"/>
        <v>0</v>
      </c>
      <c r="AE65" s="120"/>
      <c r="AF65" s="236">
        <f t="shared" si="16"/>
        <v>0</v>
      </c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345"/>
    </row>
    <row r="66" spans="1:48" ht="28.5" customHeight="1" hidden="1">
      <c r="A66" s="318">
        <v>5236</v>
      </c>
      <c r="B66" s="344" t="s">
        <v>60</v>
      </c>
      <c r="C66" s="185">
        <v>-35886</v>
      </c>
      <c r="D66" s="181"/>
      <c r="E66" s="177"/>
      <c r="F66" s="181"/>
      <c r="G66" s="177"/>
      <c r="H66" s="181">
        <f t="shared" si="15"/>
        <v>-35886</v>
      </c>
      <c r="I66" s="252"/>
      <c r="J66" s="249"/>
      <c r="K66" s="178"/>
      <c r="L66" s="178"/>
      <c r="M66" s="178"/>
      <c r="N66" s="250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33"/>
      <c r="Z66" s="133"/>
      <c r="AA66" s="178"/>
      <c r="AB66" s="178"/>
      <c r="AC66" s="120">
        <f t="shared" si="8"/>
        <v>0</v>
      </c>
      <c r="AD66" s="120">
        <f t="shared" si="8"/>
        <v>0</v>
      </c>
      <c r="AE66" s="120"/>
      <c r="AF66" s="236">
        <f t="shared" si="16"/>
        <v>-35886</v>
      </c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345"/>
    </row>
    <row r="67" spans="1:48" ht="35.25" customHeight="1" hidden="1">
      <c r="A67" s="318">
        <v>5240</v>
      </c>
      <c r="B67" s="344" t="s">
        <v>62</v>
      </c>
      <c r="C67" s="185"/>
      <c r="D67" s="181"/>
      <c r="E67" s="177"/>
      <c r="F67" s="181"/>
      <c r="G67" s="177"/>
      <c r="H67" s="181">
        <f t="shared" si="15"/>
        <v>0</v>
      </c>
      <c r="I67" s="252"/>
      <c r="J67" s="249"/>
      <c r="K67" s="178"/>
      <c r="L67" s="178"/>
      <c r="M67" s="178"/>
      <c r="N67" s="250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33"/>
      <c r="Z67" s="133"/>
      <c r="AA67" s="178"/>
      <c r="AB67" s="178"/>
      <c r="AC67" s="120">
        <f t="shared" si="8"/>
        <v>0</v>
      </c>
      <c r="AD67" s="120">
        <f t="shared" si="8"/>
        <v>0</v>
      </c>
      <c r="AE67" s="120"/>
      <c r="AF67" s="236">
        <f t="shared" si="16"/>
        <v>0</v>
      </c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345"/>
    </row>
    <row r="68" spans="1:48" ht="46.5" customHeight="1" hidden="1">
      <c r="A68" s="313">
        <v>5023</v>
      </c>
      <c r="B68" s="344" t="s">
        <v>363</v>
      </c>
      <c r="C68" s="185">
        <v>-218</v>
      </c>
      <c r="D68" s="181"/>
      <c r="E68" s="177"/>
      <c r="F68" s="181"/>
      <c r="G68" s="177"/>
      <c r="H68" s="181">
        <f t="shared" si="15"/>
        <v>-218</v>
      </c>
      <c r="I68" s="252"/>
      <c r="J68" s="249"/>
      <c r="K68" s="178"/>
      <c r="L68" s="134"/>
      <c r="M68" s="178"/>
      <c r="N68" s="250"/>
      <c r="O68" s="178"/>
      <c r="P68" s="134"/>
      <c r="Q68" s="134"/>
      <c r="R68" s="134"/>
      <c r="S68" s="134"/>
      <c r="T68" s="134"/>
      <c r="U68" s="134"/>
      <c r="V68" s="134"/>
      <c r="W68" s="134"/>
      <c r="X68" s="134"/>
      <c r="Y68" s="133"/>
      <c r="Z68" s="133"/>
      <c r="AA68" s="134"/>
      <c r="AB68" s="134"/>
      <c r="AC68" s="120">
        <f t="shared" si="8"/>
        <v>0</v>
      </c>
      <c r="AD68" s="120">
        <f t="shared" si="8"/>
        <v>0</v>
      </c>
      <c r="AE68" s="120"/>
      <c r="AF68" s="236">
        <f t="shared" si="16"/>
        <v>-218</v>
      </c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345"/>
    </row>
    <row r="69" spans="1:48" ht="54" customHeight="1" hidden="1">
      <c r="A69" s="313">
        <v>5122</v>
      </c>
      <c r="B69" s="344" t="s">
        <v>375</v>
      </c>
      <c r="C69" s="185">
        <v>-200994</v>
      </c>
      <c r="D69" s="181"/>
      <c r="E69" s="253"/>
      <c r="F69" s="181"/>
      <c r="G69" s="177"/>
      <c r="H69" s="181">
        <f t="shared" si="15"/>
        <v>-200994</v>
      </c>
      <c r="I69" s="252"/>
      <c r="J69" s="249"/>
      <c r="K69" s="178"/>
      <c r="L69" s="178"/>
      <c r="M69" s="178"/>
      <c r="N69" s="250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33"/>
      <c r="Z69" s="133"/>
      <c r="AA69" s="178"/>
      <c r="AB69" s="178"/>
      <c r="AC69" s="120">
        <f t="shared" si="8"/>
        <v>0</v>
      </c>
      <c r="AD69" s="120">
        <f t="shared" si="8"/>
        <v>0</v>
      </c>
      <c r="AE69" s="120"/>
      <c r="AF69" s="236">
        <f t="shared" si="16"/>
        <v>-200994</v>
      </c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345"/>
    </row>
    <row r="70" spans="1:48" ht="42" customHeight="1" hidden="1">
      <c r="A70" s="313">
        <v>5125</v>
      </c>
      <c r="B70" s="344" t="s">
        <v>229</v>
      </c>
      <c r="C70" s="185"/>
      <c r="D70" s="181"/>
      <c r="E70" s="253"/>
      <c r="F70" s="181"/>
      <c r="G70" s="177"/>
      <c r="H70" s="181"/>
      <c r="I70" s="252"/>
      <c r="J70" s="249"/>
      <c r="K70" s="178"/>
      <c r="L70" s="178"/>
      <c r="M70" s="178"/>
      <c r="N70" s="250"/>
      <c r="O70" s="178"/>
      <c r="P70" s="178"/>
      <c r="Q70" s="178">
        <v>-14</v>
      </c>
      <c r="R70" s="178"/>
      <c r="S70" s="178"/>
      <c r="T70" s="178"/>
      <c r="U70" s="178"/>
      <c r="V70" s="178"/>
      <c r="W70" s="178"/>
      <c r="X70" s="178"/>
      <c r="Y70" s="133"/>
      <c r="Z70" s="133"/>
      <c r="AA70" s="178"/>
      <c r="AB70" s="178"/>
      <c r="AC70" s="120">
        <f t="shared" si="8"/>
        <v>-14</v>
      </c>
      <c r="AD70" s="120">
        <f t="shared" si="8"/>
        <v>0</v>
      </c>
      <c r="AE70" s="120"/>
      <c r="AF70" s="236">
        <f t="shared" si="16"/>
        <v>-14</v>
      </c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345"/>
    </row>
    <row r="71" spans="1:48" ht="42.75" customHeight="1" hidden="1">
      <c r="A71" s="313">
        <v>5126</v>
      </c>
      <c r="B71" s="344" t="s">
        <v>378</v>
      </c>
      <c r="C71" s="185">
        <v>-289413</v>
      </c>
      <c r="D71" s="181"/>
      <c r="E71" s="177"/>
      <c r="F71" s="181"/>
      <c r="G71" s="177"/>
      <c r="H71" s="181">
        <f t="shared" si="15"/>
        <v>-289413</v>
      </c>
      <c r="I71" s="235"/>
      <c r="J71" s="249"/>
      <c r="K71" s="178"/>
      <c r="L71" s="178"/>
      <c r="M71" s="178"/>
      <c r="N71" s="250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33"/>
      <c r="Z71" s="133"/>
      <c r="AA71" s="178"/>
      <c r="AB71" s="178"/>
      <c r="AC71" s="120">
        <f t="shared" si="8"/>
        <v>0</v>
      </c>
      <c r="AD71" s="120">
        <f t="shared" si="8"/>
        <v>0</v>
      </c>
      <c r="AE71" s="120"/>
      <c r="AF71" s="236">
        <f t="shared" si="16"/>
        <v>-289413</v>
      </c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345"/>
    </row>
    <row r="72" spans="1:48" ht="42" customHeight="1" hidden="1">
      <c r="A72" s="313">
        <v>5127</v>
      </c>
      <c r="B72" s="344" t="s">
        <v>379</v>
      </c>
      <c r="C72" s="185">
        <v>-671177</v>
      </c>
      <c r="D72" s="181"/>
      <c r="E72" s="177"/>
      <c r="F72" s="181"/>
      <c r="G72" s="177"/>
      <c r="H72" s="181">
        <f t="shared" si="15"/>
        <v>-671177</v>
      </c>
      <c r="I72" s="252">
        <v>-20007</v>
      </c>
      <c r="J72" s="251"/>
      <c r="K72" s="178"/>
      <c r="L72" s="134">
        <v>-19526</v>
      </c>
      <c r="M72" s="178"/>
      <c r="N72" s="250"/>
      <c r="O72" s="178"/>
      <c r="P72" s="134"/>
      <c r="Q72" s="134">
        <v>-1796</v>
      </c>
      <c r="R72" s="134"/>
      <c r="S72" s="134"/>
      <c r="T72" s="134"/>
      <c r="U72" s="134"/>
      <c r="V72" s="134"/>
      <c r="W72" s="134"/>
      <c r="X72" s="134"/>
      <c r="Y72" s="133"/>
      <c r="Z72" s="133"/>
      <c r="AA72" s="134"/>
      <c r="AB72" s="134"/>
      <c r="AC72" s="120">
        <f t="shared" si="8"/>
        <v>-21803</v>
      </c>
      <c r="AD72" s="120">
        <f t="shared" si="8"/>
        <v>-19526</v>
      </c>
      <c r="AE72" s="120"/>
      <c r="AF72" s="236">
        <f t="shared" si="16"/>
        <v>-673454</v>
      </c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345"/>
    </row>
    <row r="73" spans="1:48" ht="42" customHeight="1" hidden="1">
      <c r="A73" s="313">
        <v>5128</v>
      </c>
      <c r="B73" s="344" t="s">
        <v>261</v>
      </c>
      <c r="C73" s="185">
        <v>-7428</v>
      </c>
      <c r="D73" s="181"/>
      <c r="E73" s="177"/>
      <c r="F73" s="181"/>
      <c r="G73" s="177"/>
      <c r="H73" s="181">
        <f t="shared" si="15"/>
        <v>-7428</v>
      </c>
      <c r="I73" s="252"/>
      <c r="J73" s="251"/>
      <c r="K73" s="178"/>
      <c r="L73" s="134"/>
      <c r="M73" s="178"/>
      <c r="N73" s="250"/>
      <c r="O73" s="178"/>
      <c r="P73" s="134"/>
      <c r="Q73" s="134"/>
      <c r="R73" s="134"/>
      <c r="S73" s="134"/>
      <c r="T73" s="134"/>
      <c r="U73" s="134"/>
      <c r="V73" s="134"/>
      <c r="W73" s="134"/>
      <c r="X73" s="134"/>
      <c r="Y73" s="133"/>
      <c r="Z73" s="133"/>
      <c r="AA73" s="134"/>
      <c r="AB73" s="134"/>
      <c r="AC73" s="120">
        <f t="shared" si="8"/>
        <v>0</v>
      </c>
      <c r="AD73" s="120">
        <f t="shared" si="8"/>
        <v>0</v>
      </c>
      <c r="AE73" s="120"/>
      <c r="AF73" s="236">
        <f t="shared" si="16"/>
        <v>-7428</v>
      </c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345"/>
    </row>
    <row r="74" spans="1:48" ht="49.5" customHeight="1" hidden="1">
      <c r="A74" s="313">
        <v>5130</v>
      </c>
      <c r="B74" s="344" t="s">
        <v>417</v>
      </c>
      <c r="C74" s="185"/>
      <c r="D74" s="181"/>
      <c r="E74" s="177"/>
      <c r="F74" s="181"/>
      <c r="G74" s="177"/>
      <c r="H74" s="181">
        <f t="shared" si="15"/>
        <v>0</v>
      </c>
      <c r="I74" s="252"/>
      <c r="J74" s="251"/>
      <c r="K74" s="178"/>
      <c r="L74" s="134"/>
      <c r="M74" s="178"/>
      <c r="N74" s="250"/>
      <c r="O74" s="178"/>
      <c r="P74" s="134"/>
      <c r="Q74" s="134"/>
      <c r="R74" s="134"/>
      <c r="S74" s="134"/>
      <c r="T74" s="134"/>
      <c r="U74" s="134"/>
      <c r="V74" s="134"/>
      <c r="W74" s="134"/>
      <c r="X74" s="134"/>
      <c r="Y74" s="133"/>
      <c r="Z74" s="133"/>
      <c r="AA74" s="134"/>
      <c r="AB74" s="134"/>
      <c r="AC74" s="120">
        <f t="shared" si="8"/>
        <v>0</v>
      </c>
      <c r="AD74" s="120">
        <f t="shared" si="8"/>
        <v>0</v>
      </c>
      <c r="AE74" s="120"/>
      <c r="AF74" s="236">
        <f t="shared" si="16"/>
        <v>0</v>
      </c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345"/>
    </row>
    <row r="75" spans="1:48" ht="51.75" customHeight="1" hidden="1">
      <c r="A75" s="318">
        <v>5138</v>
      </c>
      <c r="B75" s="344" t="s">
        <v>55</v>
      </c>
      <c r="C75" s="185"/>
      <c r="D75" s="181"/>
      <c r="E75" s="177"/>
      <c r="F75" s="181"/>
      <c r="G75" s="177"/>
      <c r="H75" s="181">
        <f t="shared" si="15"/>
        <v>0</v>
      </c>
      <c r="I75" s="252"/>
      <c r="J75" s="249"/>
      <c r="K75" s="178"/>
      <c r="L75" s="178"/>
      <c r="M75" s="178"/>
      <c r="N75" s="250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33"/>
      <c r="Z75" s="133"/>
      <c r="AA75" s="178"/>
      <c r="AB75" s="178"/>
      <c r="AC75" s="120">
        <f t="shared" si="8"/>
        <v>0</v>
      </c>
      <c r="AD75" s="120">
        <f t="shared" si="8"/>
        <v>0</v>
      </c>
      <c r="AE75" s="120"/>
      <c r="AF75" s="236">
        <f t="shared" si="16"/>
        <v>0</v>
      </c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345"/>
    </row>
    <row r="76" spans="1:48" ht="39" customHeight="1" hidden="1">
      <c r="A76" s="318">
        <v>5140</v>
      </c>
      <c r="B76" s="344" t="s">
        <v>57</v>
      </c>
      <c r="C76" s="185"/>
      <c r="D76" s="181"/>
      <c r="E76" s="177"/>
      <c r="F76" s="181"/>
      <c r="G76" s="177"/>
      <c r="H76" s="181">
        <f t="shared" si="15"/>
        <v>0</v>
      </c>
      <c r="I76" s="254"/>
      <c r="J76" s="249"/>
      <c r="K76" s="178"/>
      <c r="L76" s="178"/>
      <c r="M76" s="178"/>
      <c r="N76" s="250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33"/>
      <c r="Z76" s="133"/>
      <c r="AA76" s="178"/>
      <c r="AB76" s="178"/>
      <c r="AC76" s="120">
        <f t="shared" si="8"/>
        <v>0</v>
      </c>
      <c r="AD76" s="120">
        <f t="shared" si="8"/>
        <v>0</v>
      </c>
      <c r="AE76" s="120"/>
      <c r="AF76" s="236">
        <f t="shared" si="16"/>
        <v>0</v>
      </c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345"/>
    </row>
    <row r="77" spans="1:48" ht="34.5" customHeight="1" hidden="1">
      <c r="A77" s="319">
        <v>5141</v>
      </c>
      <c r="B77" s="344" t="s">
        <v>58</v>
      </c>
      <c r="C77" s="190"/>
      <c r="D77" s="255"/>
      <c r="E77" s="256"/>
      <c r="F77" s="255"/>
      <c r="G77" s="256"/>
      <c r="H77" s="181">
        <f t="shared" si="15"/>
        <v>0</v>
      </c>
      <c r="I77" s="235"/>
      <c r="J77" s="257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0"/>
      <c r="Z77" s="190"/>
      <c r="AA77" s="191"/>
      <c r="AB77" s="191"/>
      <c r="AC77" s="120">
        <f t="shared" si="8"/>
        <v>0</v>
      </c>
      <c r="AD77" s="120">
        <f t="shared" si="8"/>
        <v>0</v>
      </c>
      <c r="AE77" s="255"/>
      <c r="AF77" s="236">
        <f t="shared" si="16"/>
        <v>0</v>
      </c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345"/>
    </row>
    <row r="78" spans="1:48" ht="18.75" customHeight="1">
      <c r="A78" s="320"/>
      <c r="B78" s="347" t="s">
        <v>484</v>
      </c>
      <c r="C78" s="133">
        <v>-8241323</v>
      </c>
      <c r="D78" s="181">
        <f>SUM(D79:D95)</f>
        <v>-578833</v>
      </c>
      <c r="E78" s="177"/>
      <c r="F78" s="181">
        <f>SUM(F79:F95)</f>
        <v>0</v>
      </c>
      <c r="G78" s="177"/>
      <c r="H78" s="180">
        <f>C78+D78-F78</f>
        <v>-8820156</v>
      </c>
      <c r="I78" s="181">
        <f aca="true" t="shared" si="17" ref="I78:AB78">SUM(I79:I95)</f>
        <v>-89369</v>
      </c>
      <c r="J78" s="178">
        <f t="shared" si="17"/>
        <v>0</v>
      </c>
      <c r="K78" s="178">
        <f t="shared" si="17"/>
        <v>0</v>
      </c>
      <c r="L78" s="178">
        <f t="shared" si="17"/>
        <v>-28597</v>
      </c>
      <c r="M78" s="178">
        <f t="shared" si="17"/>
        <v>-13914</v>
      </c>
      <c r="N78" s="178">
        <f t="shared" si="17"/>
        <v>0</v>
      </c>
      <c r="O78" s="178">
        <f t="shared" si="17"/>
        <v>0</v>
      </c>
      <c r="P78" s="178">
        <f t="shared" si="17"/>
        <v>-4789</v>
      </c>
      <c r="Q78" s="178">
        <f t="shared" si="17"/>
        <v>-18555</v>
      </c>
      <c r="R78" s="178">
        <f t="shared" si="17"/>
        <v>0</v>
      </c>
      <c r="S78" s="178">
        <f t="shared" si="17"/>
        <v>0</v>
      </c>
      <c r="T78" s="178">
        <f t="shared" si="17"/>
        <v>0</v>
      </c>
      <c r="U78" s="178">
        <f t="shared" si="17"/>
        <v>-1105196</v>
      </c>
      <c r="V78" s="178">
        <f t="shared" si="17"/>
        <v>0</v>
      </c>
      <c r="W78" s="178">
        <f t="shared" si="17"/>
        <v>0</v>
      </c>
      <c r="X78" s="178">
        <f t="shared" si="17"/>
        <v>0</v>
      </c>
      <c r="Y78" s="178">
        <f t="shared" si="17"/>
        <v>0</v>
      </c>
      <c r="Z78" s="178">
        <f t="shared" si="17"/>
        <v>0</v>
      </c>
      <c r="AA78" s="178">
        <f t="shared" si="17"/>
        <v>0</v>
      </c>
      <c r="AB78" s="178">
        <f t="shared" si="17"/>
        <v>0</v>
      </c>
      <c r="AC78" s="120">
        <f t="shared" si="8"/>
        <v>-1227034</v>
      </c>
      <c r="AD78" s="120">
        <f t="shared" si="8"/>
        <v>-33386</v>
      </c>
      <c r="AE78" s="181">
        <f>SUM(AE79:AE95)</f>
        <v>0</v>
      </c>
      <c r="AF78" s="236">
        <f>H78+AC78-AD78</f>
        <v>-10013804</v>
      </c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345">
        <v>-2595824</v>
      </c>
    </row>
    <row r="79" spans="1:48" ht="49.5" customHeight="1" hidden="1">
      <c r="A79" s="313">
        <v>5034</v>
      </c>
      <c r="B79" s="344" t="s">
        <v>364</v>
      </c>
      <c r="C79" s="185">
        <v>-549</v>
      </c>
      <c r="D79" s="181"/>
      <c r="E79" s="177"/>
      <c r="F79" s="181"/>
      <c r="G79" s="177"/>
      <c r="H79" s="181">
        <f t="shared" si="15"/>
        <v>-549</v>
      </c>
      <c r="I79" s="252"/>
      <c r="J79" s="249"/>
      <c r="K79" s="178"/>
      <c r="L79" s="178"/>
      <c r="M79" s="178"/>
      <c r="N79" s="250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33"/>
      <c r="Z79" s="133"/>
      <c r="AA79" s="178"/>
      <c r="AB79" s="178"/>
      <c r="AC79" s="120">
        <f t="shared" si="8"/>
        <v>0</v>
      </c>
      <c r="AD79" s="120">
        <f t="shared" si="8"/>
        <v>0</v>
      </c>
      <c r="AE79" s="120"/>
      <c r="AF79" s="236">
        <f aca="true" t="shared" si="18" ref="AF79:AF95">H79+AC79-AD79</f>
        <v>-549</v>
      </c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345"/>
    </row>
    <row r="80" spans="1:48" ht="53.25" customHeight="1" hidden="1">
      <c r="A80" s="313">
        <v>5036</v>
      </c>
      <c r="B80" s="344" t="s">
        <v>365</v>
      </c>
      <c r="C80" s="185">
        <v>-36275</v>
      </c>
      <c r="D80" s="181"/>
      <c r="E80" s="177"/>
      <c r="F80" s="181"/>
      <c r="G80" s="177"/>
      <c r="H80" s="181">
        <f t="shared" si="15"/>
        <v>-36275</v>
      </c>
      <c r="I80" s="252"/>
      <c r="J80" s="249"/>
      <c r="K80" s="178"/>
      <c r="L80" s="178"/>
      <c r="M80" s="178"/>
      <c r="N80" s="250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33"/>
      <c r="Z80" s="133"/>
      <c r="AA80" s="178"/>
      <c r="AB80" s="178"/>
      <c r="AC80" s="120">
        <f t="shared" si="8"/>
        <v>0</v>
      </c>
      <c r="AD80" s="120">
        <f t="shared" si="8"/>
        <v>0</v>
      </c>
      <c r="AE80" s="120"/>
      <c r="AF80" s="236">
        <f t="shared" si="18"/>
        <v>-36275</v>
      </c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345"/>
    </row>
    <row r="81" spans="1:48" ht="53.25" customHeight="1" hidden="1">
      <c r="A81" s="313">
        <v>5044</v>
      </c>
      <c r="B81" s="344" t="s">
        <v>331</v>
      </c>
      <c r="C81" s="185">
        <v>-150657</v>
      </c>
      <c r="D81" s="181"/>
      <c r="E81" s="177"/>
      <c r="F81" s="181"/>
      <c r="G81" s="177"/>
      <c r="H81" s="181">
        <f t="shared" si="15"/>
        <v>-150657</v>
      </c>
      <c r="I81" s="252"/>
      <c r="J81" s="249"/>
      <c r="K81" s="178"/>
      <c r="L81" s="178"/>
      <c r="M81" s="178"/>
      <c r="N81" s="250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33"/>
      <c r="Z81" s="133"/>
      <c r="AA81" s="178"/>
      <c r="AB81" s="178"/>
      <c r="AC81" s="120">
        <f t="shared" si="8"/>
        <v>0</v>
      </c>
      <c r="AD81" s="120">
        <f t="shared" si="8"/>
        <v>0</v>
      </c>
      <c r="AE81" s="120"/>
      <c r="AF81" s="236">
        <f t="shared" si="18"/>
        <v>-150657</v>
      </c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345"/>
    </row>
    <row r="82" spans="1:48" ht="53.25" customHeight="1" hidden="1">
      <c r="A82" s="313">
        <v>5046</v>
      </c>
      <c r="B82" s="344" t="s">
        <v>142</v>
      </c>
      <c r="C82" s="185">
        <v>-231871</v>
      </c>
      <c r="D82" s="181"/>
      <c r="E82" s="177"/>
      <c r="F82" s="181"/>
      <c r="G82" s="177"/>
      <c r="H82" s="181">
        <f t="shared" si="15"/>
        <v>-231871</v>
      </c>
      <c r="I82" s="252"/>
      <c r="J82" s="249"/>
      <c r="K82" s="178"/>
      <c r="L82" s="178"/>
      <c r="M82" s="178"/>
      <c r="N82" s="250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33"/>
      <c r="Z82" s="133"/>
      <c r="AA82" s="178"/>
      <c r="AB82" s="178"/>
      <c r="AC82" s="120">
        <f t="shared" si="8"/>
        <v>0</v>
      </c>
      <c r="AD82" s="120">
        <f t="shared" si="8"/>
        <v>0</v>
      </c>
      <c r="AE82" s="120"/>
      <c r="AF82" s="236">
        <f t="shared" si="18"/>
        <v>-231871</v>
      </c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345"/>
    </row>
    <row r="83" spans="1:48" ht="53.25" customHeight="1" hidden="1">
      <c r="A83" s="313">
        <v>5052</v>
      </c>
      <c r="B83" s="344" t="s">
        <v>143</v>
      </c>
      <c r="C83" s="185"/>
      <c r="D83" s="181"/>
      <c r="E83" s="177"/>
      <c r="F83" s="181"/>
      <c r="G83" s="177"/>
      <c r="H83" s="181">
        <f t="shared" si="15"/>
        <v>0</v>
      </c>
      <c r="I83" s="252">
        <v>-524</v>
      </c>
      <c r="J83" s="249"/>
      <c r="K83" s="178"/>
      <c r="L83" s="178"/>
      <c r="M83" s="178"/>
      <c r="N83" s="250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33"/>
      <c r="Z83" s="133"/>
      <c r="AA83" s="178"/>
      <c r="AB83" s="178"/>
      <c r="AC83" s="120">
        <f t="shared" si="8"/>
        <v>-524</v>
      </c>
      <c r="AD83" s="120">
        <f t="shared" si="8"/>
        <v>0</v>
      </c>
      <c r="AE83" s="120"/>
      <c r="AF83" s="236">
        <f t="shared" si="18"/>
        <v>-524</v>
      </c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345"/>
    </row>
    <row r="84" spans="1:48" ht="36.75" customHeight="1" hidden="1">
      <c r="A84" s="318">
        <v>5053</v>
      </c>
      <c r="B84" s="344" t="s">
        <v>49</v>
      </c>
      <c r="C84" s="185"/>
      <c r="D84" s="181"/>
      <c r="E84" s="177"/>
      <c r="F84" s="181"/>
      <c r="G84" s="177"/>
      <c r="H84" s="181">
        <f t="shared" si="15"/>
        <v>0</v>
      </c>
      <c r="I84" s="234">
        <v>0</v>
      </c>
      <c r="J84" s="249"/>
      <c r="K84" s="178"/>
      <c r="L84" s="178"/>
      <c r="M84" s="178"/>
      <c r="N84" s="250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33"/>
      <c r="Z84" s="133"/>
      <c r="AA84" s="178"/>
      <c r="AB84" s="178"/>
      <c r="AC84" s="120">
        <f t="shared" si="8"/>
        <v>0</v>
      </c>
      <c r="AD84" s="120">
        <f t="shared" si="8"/>
        <v>0</v>
      </c>
      <c r="AE84" s="120"/>
      <c r="AF84" s="236">
        <f t="shared" si="18"/>
        <v>0</v>
      </c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345"/>
    </row>
    <row r="85" spans="1:48" ht="57.75" customHeight="1" hidden="1">
      <c r="A85" s="313">
        <v>5054</v>
      </c>
      <c r="B85" s="344" t="s">
        <v>366</v>
      </c>
      <c r="C85" s="185">
        <v>-4206482</v>
      </c>
      <c r="D85" s="181"/>
      <c r="E85" s="177"/>
      <c r="F85" s="181"/>
      <c r="G85" s="177"/>
      <c r="H85" s="181">
        <f t="shared" si="15"/>
        <v>-4206482</v>
      </c>
      <c r="I85" s="252">
        <v>-88771</v>
      </c>
      <c r="J85" s="251"/>
      <c r="K85" s="178"/>
      <c r="L85" s="179">
        <v>-28597</v>
      </c>
      <c r="M85" s="178"/>
      <c r="N85" s="250"/>
      <c r="O85" s="178"/>
      <c r="P85" s="179"/>
      <c r="Q85" s="179">
        <v>-18555</v>
      </c>
      <c r="R85" s="179"/>
      <c r="S85" s="179"/>
      <c r="T85" s="179"/>
      <c r="U85" s="179">
        <f>-1105196</f>
        <v>-1105196</v>
      </c>
      <c r="V85" s="179"/>
      <c r="W85" s="179"/>
      <c r="X85" s="179"/>
      <c r="Y85" s="133"/>
      <c r="Z85" s="133"/>
      <c r="AA85" s="179"/>
      <c r="AB85" s="179"/>
      <c r="AC85" s="120">
        <f t="shared" si="8"/>
        <v>-1212522</v>
      </c>
      <c r="AD85" s="120">
        <f t="shared" si="8"/>
        <v>-28597</v>
      </c>
      <c r="AE85" s="120"/>
      <c r="AF85" s="236">
        <f t="shared" si="18"/>
        <v>-5390407</v>
      </c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345"/>
    </row>
    <row r="86" spans="1:48" ht="41.25" customHeight="1" hidden="1">
      <c r="A86" s="313">
        <v>5056</v>
      </c>
      <c r="B86" s="344" t="s">
        <v>367</v>
      </c>
      <c r="C86" s="185">
        <v>-2735093</v>
      </c>
      <c r="D86" s="181"/>
      <c r="E86" s="177"/>
      <c r="F86" s="181"/>
      <c r="G86" s="177"/>
      <c r="H86" s="181">
        <f t="shared" si="15"/>
        <v>-2735093</v>
      </c>
      <c r="I86" s="249"/>
      <c r="J86" s="249"/>
      <c r="K86" s="178"/>
      <c r="L86" s="178"/>
      <c r="M86" s="178"/>
      <c r="N86" s="250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33"/>
      <c r="Z86" s="133"/>
      <c r="AA86" s="178"/>
      <c r="AB86" s="178"/>
      <c r="AC86" s="120">
        <f t="shared" si="8"/>
        <v>0</v>
      </c>
      <c r="AD86" s="120">
        <f t="shared" si="8"/>
        <v>0</v>
      </c>
      <c r="AE86" s="120"/>
      <c r="AF86" s="236">
        <f t="shared" si="18"/>
        <v>-2735093</v>
      </c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345"/>
    </row>
    <row r="87" spans="1:48" ht="59.25" customHeight="1" hidden="1">
      <c r="A87" s="318">
        <v>5063</v>
      </c>
      <c r="B87" s="344" t="s">
        <v>50</v>
      </c>
      <c r="C87" s="185"/>
      <c r="D87" s="181"/>
      <c r="E87" s="177"/>
      <c r="F87" s="181"/>
      <c r="G87" s="177"/>
      <c r="H87" s="181">
        <f t="shared" si="15"/>
        <v>0</v>
      </c>
      <c r="I87" s="249"/>
      <c r="J87" s="249"/>
      <c r="K87" s="178"/>
      <c r="L87" s="178"/>
      <c r="M87" s="178"/>
      <c r="N87" s="250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33"/>
      <c r="Z87" s="133"/>
      <c r="AA87" s="178"/>
      <c r="AB87" s="178"/>
      <c r="AC87" s="120">
        <f t="shared" si="8"/>
        <v>0</v>
      </c>
      <c r="AD87" s="120">
        <f t="shared" si="8"/>
        <v>0</v>
      </c>
      <c r="AE87" s="120"/>
      <c r="AF87" s="236">
        <f t="shared" si="18"/>
        <v>0</v>
      </c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345"/>
    </row>
    <row r="88" spans="1:48" ht="60" customHeight="1" hidden="1">
      <c r="A88" s="313">
        <v>5066</v>
      </c>
      <c r="B88" s="344" t="s">
        <v>371</v>
      </c>
      <c r="C88" s="185">
        <v>-143018</v>
      </c>
      <c r="D88" s="181"/>
      <c r="E88" s="177"/>
      <c r="F88" s="181"/>
      <c r="G88" s="177"/>
      <c r="H88" s="181">
        <f t="shared" si="15"/>
        <v>-143018</v>
      </c>
      <c r="I88" s="249"/>
      <c r="J88" s="249"/>
      <c r="K88" s="178"/>
      <c r="L88" s="178"/>
      <c r="M88" s="178"/>
      <c r="N88" s="250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33"/>
      <c r="Z88" s="133"/>
      <c r="AA88" s="178"/>
      <c r="AB88" s="178"/>
      <c r="AC88" s="120">
        <f t="shared" si="8"/>
        <v>0</v>
      </c>
      <c r="AD88" s="120">
        <f t="shared" si="8"/>
        <v>0</v>
      </c>
      <c r="AE88" s="120"/>
      <c r="AF88" s="236">
        <f t="shared" si="18"/>
        <v>-143018</v>
      </c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345"/>
    </row>
    <row r="89" spans="1:48" ht="28.5" customHeight="1" hidden="1">
      <c r="A89" s="318">
        <v>5069</v>
      </c>
      <c r="B89" s="344" t="s">
        <v>51</v>
      </c>
      <c r="C89" s="185"/>
      <c r="D89" s="181"/>
      <c r="E89" s="177"/>
      <c r="F89" s="181"/>
      <c r="G89" s="177"/>
      <c r="H89" s="181">
        <f t="shared" si="15"/>
        <v>0</v>
      </c>
      <c r="I89" s="249"/>
      <c r="J89" s="249"/>
      <c r="K89" s="178"/>
      <c r="L89" s="178"/>
      <c r="M89" s="178"/>
      <c r="N89" s="250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33"/>
      <c r="Z89" s="133"/>
      <c r="AA89" s="178"/>
      <c r="AB89" s="178"/>
      <c r="AC89" s="120">
        <f t="shared" si="8"/>
        <v>0</v>
      </c>
      <c r="AD89" s="120">
        <f t="shared" si="8"/>
        <v>0</v>
      </c>
      <c r="AE89" s="120"/>
      <c r="AF89" s="236">
        <f t="shared" si="18"/>
        <v>0</v>
      </c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345"/>
    </row>
    <row r="90" spans="1:48" ht="28.5" customHeight="1" hidden="1">
      <c r="A90" s="318">
        <v>5070</v>
      </c>
      <c r="B90" s="344" t="s">
        <v>52</v>
      </c>
      <c r="C90" s="185"/>
      <c r="D90" s="181"/>
      <c r="E90" s="177"/>
      <c r="F90" s="181"/>
      <c r="G90" s="177"/>
      <c r="H90" s="181">
        <f t="shared" si="15"/>
        <v>0</v>
      </c>
      <c r="I90" s="249"/>
      <c r="J90" s="249"/>
      <c r="K90" s="178"/>
      <c r="L90" s="178"/>
      <c r="M90" s="178"/>
      <c r="N90" s="250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33"/>
      <c r="Z90" s="133"/>
      <c r="AA90" s="178"/>
      <c r="AB90" s="178"/>
      <c r="AC90" s="120">
        <f t="shared" si="8"/>
        <v>0</v>
      </c>
      <c r="AD90" s="120">
        <f t="shared" si="8"/>
        <v>0</v>
      </c>
      <c r="AE90" s="120"/>
      <c r="AF90" s="236">
        <f t="shared" si="18"/>
        <v>0</v>
      </c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345"/>
    </row>
    <row r="91" spans="1:48" ht="52.5" customHeight="1" hidden="1">
      <c r="A91" s="318">
        <v>5071</v>
      </c>
      <c r="B91" s="344" t="s">
        <v>54</v>
      </c>
      <c r="C91" s="185"/>
      <c r="D91" s="181"/>
      <c r="E91" s="177"/>
      <c r="F91" s="181"/>
      <c r="G91" s="177"/>
      <c r="H91" s="181">
        <f t="shared" si="15"/>
        <v>0</v>
      </c>
      <c r="I91" s="249"/>
      <c r="J91" s="249"/>
      <c r="K91" s="178"/>
      <c r="L91" s="178"/>
      <c r="M91" s="178"/>
      <c r="N91" s="250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33"/>
      <c r="Z91" s="133"/>
      <c r="AA91" s="178"/>
      <c r="AB91" s="178"/>
      <c r="AC91" s="120">
        <f t="shared" si="8"/>
        <v>0</v>
      </c>
      <c r="AD91" s="120">
        <f t="shared" si="8"/>
        <v>0</v>
      </c>
      <c r="AE91" s="120"/>
      <c r="AF91" s="236">
        <f t="shared" si="18"/>
        <v>0</v>
      </c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345"/>
    </row>
    <row r="92" spans="1:48" ht="30.75" customHeight="1" hidden="1">
      <c r="A92" s="313">
        <v>5095</v>
      </c>
      <c r="B92" s="344" t="s">
        <v>372</v>
      </c>
      <c r="C92" s="185">
        <v>-7170</v>
      </c>
      <c r="D92" s="181">
        <v>-578833</v>
      </c>
      <c r="E92" s="177" t="s">
        <v>252</v>
      </c>
      <c r="F92" s="181"/>
      <c r="G92" s="177"/>
      <c r="H92" s="181">
        <f t="shared" si="15"/>
        <v>-586003</v>
      </c>
      <c r="I92" s="249"/>
      <c r="J92" s="249"/>
      <c r="K92" s="178"/>
      <c r="L92" s="178"/>
      <c r="M92" s="178"/>
      <c r="N92" s="250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33"/>
      <c r="Z92" s="133"/>
      <c r="AA92" s="178"/>
      <c r="AB92" s="178"/>
      <c r="AC92" s="120">
        <f t="shared" si="8"/>
        <v>0</v>
      </c>
      <c r="AD92" s="120">
        <f t="shared" si="8"/>
        <v>0</v>
      </c>
      <c r="AE92" s="120"/>
      <c r="AF92" s="236">
        <f t="shared" si="18"/>
        <v>-586003</v>
      </c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345"/>
    </row>
    <row r="93" spans="1:48" ht="52.5" customHeight="1" hidden="1">
      <c r="A93" s="313">
        <v>5111</v>
      </c>
      <c r="B93" s="344" t="s">
        <v>373</v>
      </c>
      <c r="C93" s="185"/>
      <c r="D93" s="181"/>
      <c r="E93" s="177"/>
      <c r="F93" s="181"/>
      <c r="G93" s="177"/>
      <c r="H93" s="181">
        <f t="shared" si="15"/>
        <v>0</v>
      </c>
      <c r="I93" s="249"/>
      <c r="J93" s="249"/>
      <c r="K93" s="178"/>
      <c r="L93" s="178"/>
      <c r="M93" s="178"/>
      <c r="N93" s="250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33"/>
      <c r="Z93" s="133"/>
      <c r="AA93" s="178"/>
      <c r="AB93" s="178"/>
      <c r="AC93" s="120">
        <f aca="true" t="shared" si="19" ref="AC93:AD156">I93+K93+M93+O93+Q93+S93+U93+W93+Y93+AA93</f>
        <v>0</v>
      </c>
      <c r="AD93" s="120">
        <f t="shared" si="19"/>
        <v>0</v>
      </c>
      <c r="AE93" s="120"/>
      <c r="AF93" s="236">
        <f t="shared" si="18"/>
        <v>0</v>
      </c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345"/>
    </row>
    <row r="94" spans="1:48" ht="36" customHeight="1" hidden="1">
      <c r="A94" s="313">
        <v>5113</v>
      </c>
      <c r="B94" s="344" t="s">
        <v>374</v>
      </c>
      <c r="C94" s="185">
        <v>-37674</v>
      </c>
      <c r="D94" s="181"/>
      <c r="E94" s="177"/>
      <c r="F94" s="181"/>
      <c r="G94" s="177"/>
      <c r="H94" s="181">
        <f t="shared" si="15"/>
        <v>-37674</v>
      </c>
      <c r="I94" s="249"/>
      <c r="J94" s="249"/>
      <c r="K94" s="178"/>
      <c r="L94" s="178"/>
      <c r="M94" s="178"/>
      <c r="N94" s="250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33"/>
      <c r="Z94" s="133"/>
      <c r="AA94" s="178"/>
      <c r="AB94" s="178"/>
      <c r="AC94" s="120">
        <f t="shared" si="19"/>
        <v>0</v>
      </c>
      <c r="AD94" s="120">
        <f t="shared" si="19"/>
        <v>0</v>
      </c>
      <c r="AE94" s="120"/>
      <c r="AF94" s="236">
        <f t="shared" si="18"/>
        <v>-37674</v>
      </c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345"/>
    </row>
    <row r="95" spans="1:48" ht="39" customHeight="1" hidden="1">
      <c r="A95" s="313">
        <v>5250</v>
      </c>
      <c r="B95" s="344" t="s">
        <v>399</v>
      </c>
      <c r="C95" s="185">
        <v>-733933</v>
      </c>
      <c r="D95" s="181"/>
      <c r="E95" s="177"/>
      <c r="F95" s="181"/>
      <c r="G95" s="177"/>
      <c r="H95" s="181">
        <f t="shared" si="15"/>
        <v>-733933</v>
      </c>
      <c r="I95" s="234">
        <v>-74</v>
      </c>
      <c r="J95" s="249"/>
      <c r="K95" s="178"/>
      <c r="L95" s="178"/>
      <c r="M95" s="178">
        <v>-13914</v>
      </c>
      <c r="N95" s="250"/>
      <c r="O95" s="178"/>
      <c r="P95" s="178">
        <v>-4789</v>
      </c>
      <c r="Q95" s="178"/>
      <c r="R95" s="178"/>
      <c r="S95" s="178"/>
      <c r="T95" s="178"/>
      <c r="U95" s="178"/>
      <c r="V95" s="178"/>
      <c r="W95" s="178"/>
      <c r="X95" s="178"/>
      <c r="Y95" s="133"/>
      <c r="Z95" s="133"/>
      <c r="AA95" s="178"/>
      <c r="AB95" s="178"/>
      <c r="AC95" s="120">
        <f t="shared" si="19"/>
        <v>-13988</v>
      </c>
      <c r="AD95" s="120">
        <f t="shared" si="19"/>
        <v>-4789</v>
      </c>
      <c r="AE95" s="120"/>
      <c r="AF95" s="236">
        <f t="shared" si="18"/>
        <v>-743132</v>
      </c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345"/>
    </row>
    <row r="96" spans="1:48" ht="21" customHeight="1">
      <c r="A96" s="320"/>
      <c r="B96" s="344" t="s">
        <v>485</v>
      </c>
      <c r="C96" s="133">
        <f>SUM(C97:C100)</f>
        <v>-10750835</v>
      </c>
      <c r="D96" s="181">
        <f aca="true" t="shared" si="20" ref="D96:AE96">SUM(D97:D100)</f>
        <v>-204414</v>
      </c>
      <c r="E96" s="181">
        <f t="shared" si="20"/>
        <v>0</v>
      </c>
      <c r="F96" s="181">
        <f t="shared" si="20"/>
        <v>0</v>
      </c>
      <c r="G96" s="181">
        <f t="shared" si="20"/>
        <v>0</v>
      </c>
      <c r="H96" s="181">
        <f t="shared" si="20"/>
        <v>-10955249</v>
      </c>
      <c r="I96" s="181">
        <f t="shared" si="20"/>
        <v>0</v>
      </c>
      <c r="J96" s="181">
        <f t="shared" si="20"/>
        <v>0</v>
      </c>
      <c r="K96" s="181">
        <f t="shared" si="20"/>
        <v>0</v>
      </c>
      <c r="L96" s="181">
        <f t="shared" si="20"/>
        <v>0</v>
      </c>
      <c r="M96" s="181">
        <f t="shared" si="20"/>
        <v>0</v>
      </c>
      <c r="N96" s="181">
        <f t="shared" si="20"/>
        <v>0</v>
      </c>
      <c r="O96" s="181">
        <f t="shared" si="20"/>
        <v>0</v>
      </c>
      <c r="P96" s="181">
        <f t="shared" si="20"/>
        <v>4977</v>
      </c>
      <c r="Q96" s="181">
        <f t="shared" si="20"/>
        <v>-858</v>
      </c>
      <c r="R96" s="181">
        <f>SUM(R97:R100)</f>
        <v>12269</v>
      </c>
      <c r="S96" s="181">
        <f t="shared" si="20"/>
        <v>0</v>
      </c>
      <c r="T96" s="181">
        <f t="shared" si="20"/>
        <v>0</v>
      </c>
      <c r="U96" s="181">
        <f t="shared" si="20"/>
        <v>0</v>
      </c>
      <c r="V96" s="181">
        <f t="shared" si="20"/>
        <v>0</v>
      </c>
      <c r="W96" s="181">
        <f t="shared" si="20"/>
        <v>0</v>
      </c>
      <c r="X96" s="181">
        <f t="shared" si="20"/>
        <v>0</v>
      </c>
      <c r="Y96" s="181">
        <f t="shared" si="20"/>
        <v>0</v>
      </c>
      <c r="Z96" s="181">
        <f t="shared" si="20"/>
        <v>0</v>
      </c>
      <c r="AA96" s="181">
        <f t="shared" si="20"/>
        <v>0</v>
      </c>
      <c r="AB96" s="181">
        <f t="shared" si="20"/>
        <v>0</v>
      </c>
      <c r="AC96" s="120">
        <f t="shared" si="19"/>
        <v>-858</v>
      </c>
      <c r="AD96" s="120">
        <f t="shared" si="19"/>
        <v>17246</v>
      </c>
      <c r="AE96" s="181">
        <f t="shared" si="20"/>
        <v>0</v>
      </c>
      <c r="AF96" s="236">
        <f>H96+AC96+AD96</f>
        <v>-10938861</v>
      </c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345">
        <v>-6143935</v>
      </c>
    </row>
    <row r="97" spans="1:48" s="139" customFormat="1" ht="28.5" customHeight="1" hidden="1">
      <c r="A97" s="321">
        <v>4454</v>
      </c>
      <c r="B97" s="344" t="s">
        <v>558</v>
      </c>
      <c r="C97" s="133"/>
      <c r="D97" s="133"/>
      <c r="E97" s="192"/>
      <c r="F97" s="133"/>
      <c r="G97" s="192"/>
      <c r="H97" s="181">
        <f t="shared" si="15"/>
        <v>0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>
        <v>12269</v>
      </c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20">
        <f t="shared" si="19"/>
        <v>0</v>
      </c>
      <c r="AD97" s="120">
        <f t="shared" si="19"/>
        <v>12269</v>
      </c>
      <c r="AE97" s="133"/>
      <c r="AF97" s="119">
        <f>H97+AD97-AC97</f>
        <v>12269</v>
      </c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345"/>
    </row>
    <row r="98" spans="1:48" ht="40.5" customHeight="1" hidden="1">
      <c r="A98" s="313">
        <v>5301</v>
      </c>
      <c r="B98" s="344" t="s">
        <v>396</v>
      </c>
      <c r="C98" s="185">
        <v>-10558791</v>
      </c>
      <c r="D98" s="181">
        <f>-20209-184205</f>
        <v>-204414</v>
      </c>
      <c r="E98" s="177" t="s">
        <v>456</v>
      </c>
      <c r="F98" s="181"/>
      <c r="G98" s="177"/>
      <c r="H98" s="181">
        <f t="shared" si="15"/>
        <v>-10763205</v>
      </c>
      <c r="I98" s="249"/>
      <c r="J98" s="251"/>
      <c r="K98" s="178"/>
      <c r="L98" s="178"/>
      <c r="M98" s="193"/>
      <c r="N98" s="193"/>
      <c r="O98" s="178"/>
      <c r="P98" s="178">
        <v>4977</v>
      </c>
      <c r="Q98" s="178"/>
      <c r="R98" s="178"/>
      <c r="S98" s="178"/>
      <c r="T98" s="178"/>
      <c r="U98" s="178"/>
      <c r="V98" s="178"/>
      <c r="W98" s="178"/>
      <c r="X98" s="178"/>
      <c r="Y98" s="133"/>
      <c r="Z98" s="133"/>
      <c r="AA98" s="178"/>
      <c r="AB98" s="178"/>
      <c r="AC98" s="120">
        <f t="shared" si="19"/>
        <v>0</v>
      </c>
      <c r="AD98" s="120">
        <f t="shared" si="19"/>
        <v>4977</v>
      </c>
      <c r="AE98" s="120"/>
      <c r="AF98" s="236">
        <f>H98+AC98+AD98</f>
        <v>-10758228</v>
      </c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345"/>
    </row>
    <row r="99" spans="1:48" ht="40.5" customHeight="1" hidden="1">
      <c r="A99" s="313">
        <v>5303</v>
      </c>
      <c r="B99" s="344" t="s">
        <v>474</v>
      </c>
      <c r="C99" s="185"/>
      <c r="D99" s="181"/>
      <c r="E99" s="177"/>
      <c r="F99" s="181"/>
      <c r="G99" s="177"/>
      <c r="H99" s="181">
        <f t="shared" si="15"/>
        <v>0</v>
      </c>
      <c r="I99" s="249"/>
      <c r="J99" s="251"/>
      <c r="K99" s="178"/>
      <c r="L99" s="178"/>
      <c r="M99" s="193"/>
      <c r="N99" s="193"/>
      <c r="O99" s="178"/>
      <c r="P99" s="178"/>
      <c r="Q99" s="178">
        <v>-858</v>
      </c>
      <c r="R99" s="178"/>
      <c r="S99" s="178"/>
      <c r="T99" s="178"/>
      <c r="U99" s="178"/>
      <c r="V99" s="178"/>
      <c r="W99" s="178"/>
      <c r="X99" s="178"/>
      <c r="Y99" s="133"/>
      <c r="Z99" s="133"/>
      <c r="AA99" s="178"/>
      <c r="AB99" s="178"/>
      <c r="AC99" s="120">
        <f t="shared" si="19"/>
        <v>-858</v>
      </c>
      <c r="AD99" s="120">
        <f t="shared" si="19"/>
        <v>0</v>
      </c>
      <c r="AE99" s="120"/>
      <c r="AF99" s="236">
        <f>H99+AC99-AD99</f>
        <v>-858</v>
      </c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345"/>
    </row>
    <row r="100" spans="1:48" ht="39" customHeight="1" hidden="1">
      <c r="A100" s="313">
        <v>5307</v>
      </c>
      <c r="B100" s="344" t="s">
        <v>397</v>
      </c>
      <c r="C100" s="185">
        <v>-192044</v>
      </c>
      <c r="D100" s="181"/>
      <c r="E100" s="177"/>
      <c r="F100" s="181"/>
      <c r="G100" s="177"/>
      <c r="H100" s="181">
        <f t="shared" si="15"/>
        <v>-192044</v>
      </c>
      <c r="I100" s="234"/>
      <c r="J100" s="249"/>
      <c r="K100" s="178"/>
      <c r="L100" s="178"/>
      <c r="M100" s="178"/>
      <c r="N100" s="250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33"/>
      <c r="Z100" s="133"/>
      <c r="AA100" s="178"/>
      <c r="AB100" s="178"/>
      <c r="AC100" s="120">
        <f t="shared" si="19"/>
        <v>0</v>
      </c>
      <c r="AD100" s="120">
        <f t="shared" si="19"/>
        <v>0</v>
      </c>
      <c r="AE100" s="120"/>
      <c r="AF100" s="236">
        <f>H100+AC100-AD100</f>
        <v>-192044</v>
      </c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345"/>
    </row>
    <row r="101" spans="1:48" ht="21.75" customHeight="1">
      <c r="A101" s="320"/>
      <c r="B101" s="350" t="s">
        <v>486</v>
      </c>
      <c r="C101" s="133">
        <v>-1883873</v>
      </c>
      <c r="D101" s="181">
        <f aca="true" t="shared" si="21" ref="D101:AB101">SUM(D102:D107)</f>
        <v>-89782</v>
      </c>
      <c r="E101" s="181">
        <f t="shared" si="21"/>
        <v>0</v>
      </c>
      <c r="F101" s="181">
        <f t="shared" si="21"/>
        <v>0</v>
      </c>
      <c r="G101" s="181">
        <f t="shared" si="21"/>
        <v>0</v>
      </c>
      <c r="H101" s="181">
        <f t="shared" si="21"/>
        <v>-1983671</v>
      </c>
      <c r="I101" s="181">
        <f t="shared" si="21"/>
        <v>-316</v>
      </c>
      <c r="J101" s="181">
        <f t="shared" si="21"/>
        <v>0</v>
      </c>
      <c r="K101" s="181">
        <f t="shared" si="21"/>
        <v>0</v>
      </c>
      <c r="L101" s="181">
        <f t="shared" si="21"/>
        <v>0</v>
      </c>
      <c r="M101" s="181">
        <f t="shared" si="21"/>
        <v>0</v>
      </c>
      <c r="N101" s="181">
        <f t="shared" si="21"/>
        <v>0</v>
      </c>
      <c r="O101" s="181">
        <f t="shared" si="21"/>
        <v>0</v>
      </c>
      <c r="P101" s="181">
        <f t="shared" si="21"/>
        <v>0</v>
      </c>
      <c r="Q101" s="181">
        <f t="shared" si="21"/>
        <v>0</v>
      </c>
      <c r="R101" s="181">
        <f t="shared" si="21"/>
        <v>0</v>
      </c>
      <c r="S101" s="181">
        <f t="shared" si="21"/>
        <v>0</v>
      </c>
      <c r="T101" s="181">
        <f t="shared" si="21"/>
        <v>0</v>
      </c>
      <c r="U101" s="181">
        <f t="shared" si="21"/>
        <v>0</v>
      </c>
      <c r="V101" s="181">
        <f t="shared" si="21"/>
        <v>0</v>
      </c>
      <c r="W101" s="181">
        <f t="shared" si="21"/>
        <v>0</v>
      </c>
      <c r="X101" s="181">
        <f t="shared" si="21"/>
        <v>-189526</v>
      </c>
      <c r="Y101" s="181">
        <f t="shared" si="21"/>
        <v>0</v>
      </c>
      <c r="Z101" s="181">
        <f t="shared" si="21"/>
        <v>0</v>
      </c>
      <c r="AA101" s="181">
        <f t="shared" si="21"/>
        <v>0</v>
      </c>
      <c r="AB101" s="181">
        <f t="shared" si="21"/>
        <v>0</v>
      </c>
      <c r="AC101" s="120">
        <f t="shared" si="19"/>
        <v>-316</v>
      </c>
      <c r="AD101" s="120">
        <f t="shared" si="19"/>
        <v>-189526</v>
      </c>
      <c r="AE101" s="181">
        <f>SUM(AE102:AE107)</f>
        <v>0</v>
      </c>
      <c r="AF101" s="236">
        <f>H101+AC101-AD101</f>
        <v>-1794461</v>
      </c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345">
        <v>-908010</v>
      </c>
    </row>
    <row r="102" spans="1:48" ht="40.5" customHeight="1" hidden="1">
      <c r="A102" s="315">
        <v>4455</v>
      </c>
      <c r="B102" s="348" t="s">
        <v>47</v>
      </c>
      <c r="C102" s="8">
        <v>24129</v>
      </c>
      <c r="D102" s="3"/>
      <c r="E102" s="68"/>
      <c r="F102" s="3"/>
      <c r="G102" s="68"/>
      <c r="H102" s="3">
        <f>C102+F102-D102</f>
        <v>24129</v>
      </c>
      <c r="I102" s="241"/>
      <c r="J102" s="241"/>
      <c r="K102" s="15"/>
      <c r="L102" s="15"/>
      <c r="M102" s="15"/>
      <c r="N102" s="244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8"/>
      <c r="Z102" s="8"/>
      <c r="AA102" s="15"/>
      <c r="AB102" s="15"/>
      <c r="AC102" s="3">
        <f t="shared" si="19"/>
        <v>0</v>
      </c>
      <c r="AD102" s="3">
        <f t="shared" si="19"/>
        <v>0</v>
      </c>
      <c r="AE102" s="3"/>
      <c r="AF102" s="45">
        <f>H102+AC102+AD102</f>
        <v>24129</v>
      </c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349"/>
    </row>
    <row r="103" spans="1:48" ht="36.75" customHeight="1" hidden="1">
      <c r="A103" s="313">
        <v>5401</v>
      </c>
      <c r="B103" s="348" t="s">
        <v>398</v>
      </c>
      <c r="C103" s="13"/>
      <c r="D103" s="4"/>
      <c r="E103" s="68"/>
      <c r="F103" s="4"/>
      <c r="G103" s="68"/>
      <c r="H103" s="4">
        <f t="shared" si="15"/>
        <v>0</v>
      </c>
      <c r="I103" s="241"/>
      <c r="J103" s="240"/>
      <c r="K103" s="15"/>
      <c r="L103" s="15"/>
      <c r="M103" s="15"/>
      <c r="N103" s="244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8"/>
      <c r="Z103" s="8"/>
      <c r="AA103" s="15"/>
      <c r="AB103" s="15"/>
      <c r="AC103" s="3">
        <f t="shared" si="19"/>
        <v>0</v>
      </c>
      <c r="AD103" s="3">
        <f t="shared" si="19"/>
        <v>0</v>
      </c>
      <c r="AE103" s="3"/>
      <c r="AF103" s="258">
        <f>H103+AC103-AD103</f>
        <v>0</v>
      </c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349"/>
    </row>
    <row r="104" spans="1:48" ht="46.5" customHeight="1" hidden="1">
      <c r="A104" s="313">
        <v>5402</v>
      </c>
      <c r="B104" s="348" t="s">
        <v>554</v>
      </c>
      <c r="C104" s="13"/>
      <c r="D104" s="4"/>
      <c r="E104" s="68"/>
      <c r="F104" s="4"/>
      <c r="G104" s="68"/>
      <c r="H104" s="4">
        <f t="shared" si="15"/>
        <v>0</v>
      </c>
      <c r="I104" s="240">
        <v>-52</v>
      </c>
      <c r="J104" s="240"/>
      <c r="K104" s="15"/>
      <c r="L104" s="26"/>
      <c r="M104" s="15"/>
      <c r="N104" s="244"/>
      <c r="O104" s="15"/>
      <c r="P104" s="26"/>
      <c r="Q104" s="26"/>
      <c r="R104" s="26"/>
      <c r="S104" s="26"/>
      <c r="T104" s="26"/>
      <c r="U104" s="26"/>
      <c r="V104" s="26"/>
      <c r="W104" s="26"/>
      <c r="X104" s="26"/>
      <c r="Y104" s="8"/>
      <c r="Z104" s="8"/>
      <c r="AA104" s="26"/>
      <c r="AB104" s="26"/>
      <c r="AC104" s="3">
        <f t="shared" si="19"/>
        <v>-52</v>
      </c>
      <c r="AD104" s="3">
        <f t="shared" si="19"/>
        <v>0</v>
      </c>
      <c r="AE104" s="3"/>
      <c r="AF104" s="258">
        <f>H104+AC104-AD104</f>
        <v>-52</v>
      </c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349"/>
    </row>
    <row r="105" spans="1:48" ht="37.5" customHeight="1" hidden="1">
      <c r="A105" s="318">
        <v>5404</v>
      </c>
      <c r="B105" s="348" t="s">
        <v>63</v>
      </c>
      <c r="C105" s="13">
        <v>-21404</v>
      </c>
      <c r="D105" s="4"/>
      <c r="E105" s="68"/>
      <c r="F105" s="4"/>
      <c r="G105" s="68"/>
      <c r="H105" s="4">
        <f t="shared" si="15"/>
        <v>-21404</v>
      </c>
      <c r="I105" s="240">
        <v>-264</v>
      </c>
      <c r="J105" s="240"/>
      <c r="K105" s="15"/>
      <c r="L105" s="15"/>
      <c r="M105" s="15"/>
      <c r="N105" s="244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8"/>
      <c r="Z105" s="8"/>
      <c r="AA105" s="15"/>
      <c r="AB105" s="15"/>
      <c r="AC105" s="3">
        <f t="shared" si="19"/>
        <v>-264</v>
      </c>
      <c r="AD105" s="3">
        <f t="shared" si="19"/>
        <v>0</v>
      </c>
      <c r="AE105" s="3"/>
      <c r="AF105" s="258">
        <f>H105+AC105-AD105</f>
        <v>-21668</v>
      </c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349"/>
    </row>
    <row r="106" spans="1:48" ht="39.75" customHeight="1" hidden="1">
      <c r="A106" s="318">
        <v>5406</v>
      </c>
      <c r="B106" s="348" t="s">
        <v>64</v>
      </c>
      <c r="C106" s="13">
        <v>-1697543</v>
      </c>
      <c r="D106" s="4">
        <f>-89782</f>
        <v>-89782</v>
      </c>
      <c r="E106" s="68" t="s">
        <v>255</v>
      </c>
      <c r="F106" s="4"/>
      <c r="G106" s="68"/>
      <c r="H106" s="4">
        <f t="shared" si="15"/>
        <v>-1787325</v>
      </c>
      <c r="I106" s="241"/>
      <c r="J106" s="240"/>
      <c r="K106" s="15"/>
      <c r="L106" s="15"/>
      <c r="M106" s="15"/>
      <c r="N106" s="24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8"/>
      <c r="Z106" s="8"/>
      <c r="AA106" s="15"/>
      <c r="AB106" s="15"/>
      <c r="AC106" s="3">
        <f t="shared" si="19"/>
        <v>0</v>
      </c>
      <c r="AD106" s="3">
        <f t="shared" si="19"/>
        <v>0</v>
      </c>
      <c r="AE106" s="3"/>
      <c r="AF106" s="258">
        <f>H106+AC106-AD106</f>
        <v>-1787325</v>
      </c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349"/>
    </row>
    <row r="107" spans="1:48" ht="39.75" customHeight="1" hidden="1">
      <c r="A107" s="318">
        <v>5407</v>
      </c>
      <c r="B107" s="348" t="s">
        <v>262</v>
      </c>
      <c r="C107" s="13">
        <v>-199071</v>
      </c>
      <c r="D107" s="4"/>
      <c r="E107" s="68"/>
      <c r="F107" s="4"/>
      <c r="G107" s="68"/>
      <c r="H107" s="4">
        <f t="shared" si="15"/>
        <v>-199071</v>
      </c>
      <c r="I107" s="241"/>
      <c r="J107" s="240"/>
      <c r="K107" s="15"/>
      <c r="L107" s="15"/>
      <c r="M107" s="15"/>
      <c r="N107" s="244"/>
      <c r="O107" s="15"/>
      <c r="P107" s="15"/>
      <c r="Q107" s="15"/>
      <c r="R107" s="15"/>
      <c r="S107" s="15"/>
      <c r="T107" s="15"/>
      <c r="U107" s="15"/>
      <c r="V107" s="15"/>
      <c r="W107" s="15"/>
      <c r="X107" s="15">
        <f>-189526</f>
        <v>-189526</v>
      </c>
      <c r="Y107" s="8"/>
      <c r="Z107" s="8"/>
      <c r="AA107" s="15"/>
      <c r="AB107" s="15"/>
      <c r="AC107" s="3">
        <f t="shared" si="19"/>
        <v>0</v>
      </c>
      <c r="AD107" s="3">
        <f t="shared" si="19"/>
        <v>-189526</v>
      </c>
      <c r="AE107" s="3"/>
      <c r="AF107" s="258">
        <f>H107+AC107-AD107</f>
        <v>-9545</v>
      </c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349"/>
    </row>
    <row r="108" spans="1:48" ht="19.5" customHeight="1">
      <c r="A108" s="322"/>
      <c r="B108" s="351" t="s">
        <v>487</v>
      </c>
      <c r="C108" s="259">
        <f>C6+C55</f>
        <v>18843633</v>
      </c>
      <c r="D108" s="259">
        <f>D6+D55</f>
        <v>-877961</v>
      </c>
      <c r="E108" s="260"/>
      <c r="F108" s="259">
        <f>F6+F55</f>
        <v>629129</v>
      </c>
      <c r="G108" s="260"/>
      <c r="H108" s="259">
        <f aca="true" t="shared" si="22" ref="H108:AB108">H6+H55</f>
        <v>18594801</v>
      </c>
      <c r="I108" s="261">
        <f t="shared" si="22"/>
        <v>-200020</v>
      </c>
      <c r="J108" s="261">
        <f t="shared" si="22"/>
        <v>776673</v>
      </c>
      <c r="K108" s="261">
        <f t="shared" si="22"/>
        <v>48123</v>
      </c>
      <c r="L108" s="261">
        <f t="shared" si="22"/>
        <v>-48123</v>
      </c>
      <c r="M108" s="261">
        <f t="shared" si="22"/>
        <v>-16155</v>
      </c>
      <c r="N108" s="261">
        <f t="shared" si="22"/>
        <v>197027</v>
      </c>
      <c r="O108" s="261">
        <f t="shared" si="22"/>
        <v>243</v>
      </c>
      <c r="P108" s="261">
        <f t="shared" si="22"/>
        <v>-243</v>
      </c>
      <c r="Q108" s="261">
        <f t="shared" si="22"/>
        <v>-30736</v>
      </c>
      <c r="R108" s="261">
        <f t="shared" si="22"/>
        <v>169115</v>
      </c>
      <c r="S108" s="261">
        <f t="shared" si="22"/>
        <v>0</v>
      </c>
      <c r="T108" s="261">
        <f t="shared" si="22"/>
        <v>0</v>
      </c>
      <c r="U108" s="261">
        <f t="shared" si="22"/>
        <v>-1105196</v>
      </c>
      <c r="V108" s="261">
        <f t="shared" si="22"/>
        <v>1128512</v>
      </c>
      <c r="W108" s="261">
        <f t="shared" si="22"/>
        <v>1121861</v>
      </c>
      <c r="X108" s="261">
        <f t="shared" si="22"/>
        <v>-1121861</v>
      </c>
      <c r="Y108" s="261">
        <f t="shared" si="22"/>
        <v>-147</v>
      </c>
      <c r="Z108" s="261">
        <f t="shared" si="22"/>
        <v>4694</v>
      </c>
      <c r="AA108" s="261">
        <f t="shared" si="22"/>
        <v>0</v>
      </c>
      <c r="AB108" s="261">
        <f t="shared" si="22"/>
        <v>0</v>
      </c>
      <c r="AC108" s="262">
        <f t="shared" si="19"/>
        <v>-182027</v>
      </c>
      <c r="AD108" s="262">
        <f t="shared" si="19"/>
        <v>1105794</v>
      </c>
      <c r="AE108" s="259">
        <f>AE6+AE55</f>
        <v>0</v>
      </c>
      <c r="AF108" s="263">
        <f>H108+AC108+AD108</f>
        <v>19518568</v>
      </c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352">
        <f>AV6+AV55</f>
        <v>8963954</v>
      </c>
    </row>
    <row r="109" spans="1:48" ht="21.75" customHeight="1">
      <c r="A109" s="317"/>
      <c r="B109" s="353" t="s">
        <v>488</v>
      </c>
      <c r="C109" s="228">
        <v>-6301864</v>
      </c>
      <c r="D109" s="265">
        <f>SUM(D110:D112)</f>
        <v>0</v>
      </c>
      <c r="E109" s="68"/>
      <c r="F109" s="265">
        <f>SUM(F110:F112)</f>
        <v>0</v>
      </c>
      <c r="G109" s="68"/>
      <c r="H109" s="265">
        <f>SUM(H110:H114)</f>
        <v>-5524037</v>
      </c>
      <c r="I109" s="265">
        <f aca="true" t="shared" si="23" ref="I109:AB109">SUM(I110:I114)</f>
        <v>-96160</v>
      </c>
      <c r="J109" s="265">
        <f t="shared" si="23"/>
        <v>0</v>
      </c>
      <c r="K109" s="265">
        <f t="shared" si="23"/>
        <v>0</v>
      </c>
      <c r="L109" s="265">
        <f t="shared" si="23"/>
        <v>0</v>
      </c>
      <c r="M109" s="265">
        <f t="shared" si="23"/>
        <v>0</v>
      </c>
      <c r="N109" s="265">
        <f t="shared" si="23"/>
        <v>0</v>
      </c>
      <c r="O109" s="265">
        <f t="shared" si="23"/>
        <v>0</v>
      </c>
      <c r="P109" s="265">
        <f t="shared" si="23"/>
        <v>0</v>
      </c>
      <c r="Q109" s="265">
        <f t="shared" si="23"/>
        <v>-13428</v>
      </c>
      <c r="R109" s="265">
        <f t="shared" si="23"/>
        <v>0</v>
      </c>
      <c r="S109" s="265">
        <f t="shared" si="23"/>
        <v>0</v>
      </c>
      <c r="T109" s="265">
        <f t="shared" si="23"/>
        <v>0</v>
      </c>
      <c r="U109" s="265">
        <f t="shared" si="23"/>
        <v>0</v>
      </c>
      <c r="V109" s="265">
        <f t="shared" si="23"/>
        <v>0</v>
      </c>
      <c r="W109" s="265">
        <f t="shared" si="23"/>
        <v>0</v>
      </c>
      <c r="X109" s="265">
        <f t="shared" si="23"/>
        <v>0</v>
      </c>
      <c r="Y109" s="265">
        <f t="shared" si="23"/>
        <v>0</v>
      </c>
      <c r="Z109" s="265">
        <f t="shared" si="23"/>
        <v>0</v>
      </c>
      <c r="AA109" s="265">
        <f t="shared" si="23"/>
        <v>0</v>
      </c>
      <c r="AB109" s="265">
        <f t="shared" si="23"/>
        <v>0</v>
      </c>
      <c r="AC109" s="229">
        <f t="shared" si="19"/>
        <v>-109588</v>
      </c>
      <c r="AD109" s="229">
        <f t="shared" si="19"/>
        <v>0</v>
      </c>
      <c r="AE109" s="265">
        <f>SUM(AE110:AE112)</f>
        <v>0</v>
      </c>
      <c r="AF109" s="266">
        <f aca="true" t="shared" si="24" ref="AF109:AF114">H109+AC109-AD109</f>
        <v>-5633625</v>
      </c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354">
        <v>-1618949</v>
      </c>
    </row>
    <row r="110" spans="1:48" ht="82.5" customHeight="1" hidden="1">
      <c r="A110" s="313">
        <v>5455</v>
      </c>
      <c r="B110" s="348" t="s">
        <v>401</v>
      </c>
      <c r="C110" s="13">
        <v>-5523553</v>
      </c>
      <c r="D110" s="4"/>
      <c r="E110" s="68"/>
      <c r="F110" s="4"/>
      <c r="G110" s="68"/>
      <c r="H110" s="4">
        <f>C110+D110-F110</f>
        <v>-5523553</v>
      </c>
      <c r="I110" s="241">
        <v>-96484</v>
      </c>
      <c r="J110" s="240"/>
      <c r="K110" s="15"/>
      <c r="L110" s="26"/>
      <c r="M110" s="15"/>
      <c r="N110" s="244"/>
      <c r="O110" s="15"/>
      <c r="P110" s="26"/>
      <c r="Q110" s="26">
        <v>-13428</v>
      </c>
      <c r="R110" s="26"/>
      <c r="S110" s="26"/>
      <c r="T110" s="26"/>
      <c r="U110" s="26"/>
      <c r="V110" s="26"/>
      <c r="W110" s="26"/>
      <c r="X110" s="26"/>
      <c r="Y110" s="8"/>
      <c r="Z110" s="8"/>
      <c r="AA110" s="26"/>
      <c r="AB110" s="26"/>
      <c r="AC110" s="3">
        <f t="shared" si="19"/>
        <v>-109912</v>
      </c>
      <c r="AD110" s="3">
        <f t="shared" si="19"/>
        <v>0</v>
      </c>
      <c r="AE110" s="3"/>
      <c r="AF110" s="258">
        <f t="shared" si="24"/>
        <v>-5633465</v>
      </c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349"/>
    </row>
    <row r="111" spans="1:48" ht="37.5" customHeight="1" hidden="1">
      <c r="A111" s="313">
        <v>5456</v>
      </c>
      <c r="B111" s="348" t="s">
        <v>402</v>
      </c>
      <c r="C111" s="13"/>
      <c r="D111" s="4"/>
      <c r="E111" s="68"/>
      <c r="F111" s="4"/>
      <c r="G111" s="68"/>
      <c r="H111" s="8">
        <f>C111+D111-F111</f>
        <v>0</v>
      </c>
      <c r="I111" s="240"/>
      <c r="J111" s="240"/>
      <c r="K111" s="15"/>
      <c r="L111" s="15"/>
      <c r="M111" s="15"/>
      <c r="N111" s="244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8"/>
      <c r="Z111" s="8"/>
      <c r="AA111" s="15"/>
      <c r="AB111" s="15"/>
      <c r="AC111" s="3">
        <f t="shared" si="19"/>
        <v>0</v>
      </c>
      <c r="AD111" s="3">
        <f t="shared" si="19"/>
        <v>0</v>
      </c>
      <c r="AE111" s="3"/>
      <c r="AF111" s="258">
        <f t="shared" si="24"/>
        <v>0</v>
      </c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349"/>
    </row>
    <row r="112" spans="1:48" ht="41.25" customHeight="1" hidden="1">
      <c r="A112" s="323">
        <v>5451</v>
      </c>
      <c r="B112" s="348" t="s">
        <v>530</v>
      </c>
      <c r="C112" s="8"/>
      <c r="D112" s="93"/>
      <c r="E112" s="94"/>
      <c r="F112" s="95"/>
      <c r="G112" s="94"/>
      <c r="H112" s="8">
        <f>C112+D112-F112</f>
        <v>0</v>
      </c>
      <c r="I112" s="241"/>
      <c r="J112" s="268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95"/>
      <c r="Z112" s="95"/>
      <c r="AA112" s="21"/>
      <c r="AB112" s="21"/>
      <c r="AC112" s="3">
        <f t="shared" si="19"/>
        <v>0</v>
      </c>
      <c r="AD112" s="3">
        <f t="shared" si="19"/>
        <v>0</v>
      </c>
      <c r="AE112" s="3"/>
      <c r="AF112" s="258">
        <f t="shared" si="24"/>
        <v>0</v>
      </c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349"/>
    </row>
    <row r="113" spans="1:48" ht="66" customHeight="1" hidden="1">
      <c r="A113" s="323">
        <v>5452</v>
      </c>
      <c r="B113" s="348" t="s">
        <v>306</v>
      </c>
      <c r="C113" s="8"/>
      <c r="D113" s="93"/>
      <c r="E113" s="94"/>
      <c r="F113" s="95"/>
      <c r="G113" s="94"/>
      <c r="H113" s="4">
        <f>C113+D113-F113</f>
        <v>0</v>
      </c>
      <c r="I113" s="241">
        <v>324</v>
      </c>
      <c r="J113" s="268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95"/>
      <c r="Z113" s="95"/>
      <c r="AA113" s="21"/>
      <c r="AB113" s="21"/>
      <c r="AC113" s="3">
        <f t="shared" si="19"/>
        <v>324</v>
      </c>
      <c r="AD113" s="3">
        <f t="shared" si="19"/>
        <v>0</v>
      </c>
      <c r="AE113" s="3"/>
      <c r="AF113" s="258">
        <f t="shared" si="24"/>
        <v>324</v>
      </c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349"/>
    </row>
    <row r="114" spans="1:48" ht="65.25" customHeight="1" hidden="1">
      <c r="A114" s="318">
        <v>5466</v>
      </c>
      <c r="B114" s="348" t="s">
        <v>65</v>
      </c>
      <c r="C114" s="13">
        <v>-484</v>
      </c>
      <c r="D114" s="4"/>
      <c r="E114" s="68"/>
      <c r="F114" s="4"/>
      <c r="G114" s="68"/>
      <c r="H114" s="4">
        <f>C114+D114-F114</f>
        <v>-484</v>
      </c>
      <c r="I114" s="241"/>
      <c r="J114" s="241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8"/>
      <c r="Z114" s="8"/>
      <c r="AA114" s="15"/>
      <c r="AB114" s="15"/>
      <c r="AC114" s="3">
        <f t="shared" si="19"/>
        <v>0</v>
      </c>
      <c r="AD114" s="3">
        <f t="shared" si="19"/>
        <v>0</v>
      </c>
      <c r="AE114" s="3"/>
      <c r="AF114" s="258">
        <f t="shared" si="24"/>
        <v>-484</v>
      </c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349"/>
    </row>
    <row r="115" spans="1:48" ht="30.75" customHeight="1">
      <c r="A115" s="317"/>
      <c r="B115" s="351" t="s">
        <v>489</v>
      </c>
      <c r="C115" s="259">
        <f>C108+C109</f>
        <v>12541769</v>
      </c>
      <c r="D115" s="259">
        <f>D108+D109</f>
        <v>-877961</v>
      </c>
      <c r="E115" s="260"/>
      <c r="F115" s="259">
        <f>F108+F109</f>
        <v>629129</v>
      </c>
      <c r="G115" s="260"/>
      <c r="H115" s="259">
        <f aca="true" t="shared" si="25" ref="H115:X115">H108+H109</f>
        <v>13070764</v>
      </c>
      <c r="I115" s="261">
        <f t="shared" si="25"/>
        <v>-296180</v>
      </c>
      <c r="J115" s="261">
        <f t="shared" si="25"/>
        <v>776673</v>
      </c>
      <c r="K115" s="261">
        <f t="shared" si="25"/>
        <v>48123</v>
      </c>
      <c r="L115" s="261">
        <f t="shared" si="25"/>
        <v>-48123</v>
      </c>
      <c r="M115" s="261">
        <f t="shared" si="25"/>
        <v>-16155</v>
      </c>
      <c r="N115" s="261">
        <f t="shared" si="25"/>
        <v>197027</v>
      </c>
      <c r="O115" s="261">
        <f t="shared" si="25"/>
        <v>243</v>
      </c>
      <c r="P115" s="261">
        <f t="shared" si="25"/>
        <v>-243</v>
      </c>
      <c r="Q115" s="261">
        <f t="shared" si="25"/>
        <v>-44164</v>
      </c>
      <c r="R115" s="261">
        <f t="shared" si="25"/>
        <v>169115</v>
      </c>
      <c r="S115" s="261">
        <f t="shared" si="25"/>
        <v>0</v>
      </c>
      <c r="T115" s="261">
        <f t="shared" si="25"/>
        <v>0</v>
      </c>
      <c r="U115" s="261">
        <f t="shared" si="25"/>
        <v>-1105196</v>
      </c>
      <c r="V115" s="261">
        <f t="shared" si="25"/>
        <v>1128512</v>
      </c>
      <c r="W115" s="261">
        <f t="shared" si="25"/>
        <v>1121861</v>
      </c>
      <c r="X115" s="261">
        <f t="shared" si="25"/>
        <v>-1121861</v>
      </c>
      <c r="Y115" s="261">
        <f>Y108+Y109</f>
        <v>-147</v>
      </c>
      <c r="Z115" s="261">
        <f>Z108+Z109</f>
        <v>4694</v>
      </c>
      <c r="AA115" s="261">
        <f>AA108+AA109</f>
        <v>0</v>
      </c>
      <c r="AB115" s="261">
        <f>AB108+AB109</f>
        <v>0</v>
      </c>
      <c r="AC115" s="262">
        <f t="shared" si="19"/>
        <v>-291615</v>
      </c>
      <c r="AD115" s="262">
        <f t="shared" si="19"/>
        <v>1105794</v>
      </c>
      <c r="AE115" s="259">
        <f>AE108+AE109</f>
        <v>0</v>
      </c>
      <c r="AF115" s="259">
        <f>AF108+AF109</f>
        <v>13884943</v>
      </c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352">
        <f>AV108+AV109</f>
        <v>7345005</v>
      </c>
    </row>
    <row r="116" spans="1:48" ht="22.5" customHeight="1">
      <c r="A116" s="316"/>
      <c r="B116" s="350" t="s">
        <v>490</v>
      </c>
      <c r="C116" s="133">
        <v>5183457</v>
      </c>
      <c r="D116" s="133">
        <f>SUM(D117:D126)</f>
        <v>295711</v>
      </c>
      <c r="E116" s="177"/>
      <c r="F116" s="133">
        <f>SUM(F117:F126)</f>
        <v>51702</v>
      </c>
      <c r="G116" s="177"/>
      <c r="H116" s="133">
        <f aca="true" t="shared" si="26" ref="H116:X116">SUM(H117:H126)</f>
        <v>5070208</v>
      </c>
      <c r="I116" s="178">
        <f t="shared" si="26"/>
        <v>0</v>
      </c>
      <c r="J116" s="178">
        <f t="shared" si="26"/>
        <v>181390</v>
      </c>
      <c r="K116" s="178">
        <f t="shared" si="26"/>
        <v>1619</v>
      </c>
      <c r="L116" s="178">
        <f t="shared" si="26"/>
        <v>0</v>
      </c>
      <c r="M116" s="178">
        <f t="shared" si="26"/>
        <v>0</v>
      </c>
      <c r="N116" s="178">
        <f t="shared" si="26"/>
        <v>17163</v>
      </c>
      <c r="O116" s="178">
        <f t="shared" si="26"/>
        <v>3232</v>
      </c>
      <c r="P116" s="178">
        <f t="shared" si="26"/>
        <v>0</v>
      </c>
      <c r="Q116" s="178">
        <f t="shared" si="26"/>
        <v>0</v>
      </c>
      <c r="R116" s="178">
        <f t="shared" si="26"/>
        <v>41565</v>
      </c>
      <c r="S116" s="178">
        <f t="shared" si="26"/>
        <v>0</v>
      </c>
      <c r="T116" s="178">
        <f t="shared" si="26"/>
        <v>0</v>
      </c>
      <c r="U116" s="178">
        <f t="shared" si="26"/>
        <v>0</v>
      </c>
      <c r="V116" s="178">
        <f t="shared" si="26"/>
        <v>0</v>
      </c>
      <c r="W116" s="178">
        <f t="shared" si="26"/>
        <v>0</v>
      </c>
      <c r="X116" s="178">
        <f t="shared" si="26"/>
        <v>0</v>
      </c>
      <c r="Y116" s="178">
        <f>SUM(Y117:Y126)</f>
        <v>0</v>
      </c>
      <c r="Z116" s="178">
        <f>SUM(Z117:Z126)</f>
        <v>100327</v>
      </c>
      <c r="AA116" s="178">
        <f>SUM(AA117:AA126)</f>
        <v>0</v>
      </c>
      <c r="AB116" s="178">
        <f>SUM(AB117:AB126)</f>
        <v>0</v>
      </c>
      <c r="AC116" s="120">
        <f t="shared" si="19"/>
        <v>4851</v>
      </c>
      <c r="AD116" s="120">
        <f t="shared" si="19"/>
        <v>340445</v>
      </c>
      <c r="AE116" s="133">
        <f>SUM(AE117:AE126)</f>
        <v>0</v>
      </c>
      <c r="AF116" s="233">
        <f aca="true" t="shared" si="27" ref="AF116:AF126">H116+AD116-AC116</f>
        <v>5405802</v>
      </c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345">
        <v>3192625</v>
      </c>
    </row>
    <row r="117" spans="1:48" ht="28.5" customHeight="1" hidden="1">
      <c r="A117" s="312">
        <v>4601</v>
      </c>
      <c r="B117" s="344" t="s">
        <v>332</v>
      </c>
      <c r="C117" s="133">
        <v>1141035</v>
      </c>
      <c r="D117" s="120"/>
      <c r="E117" s="177"/>
      <c r="F117" s="120"/>
      <c r="G117" s="177"/>
      <c r="H117" s="120">
        <f aca="true" t="shared" si="28" ref="H117:H126">C117+F117-D117</f>
        <v>1141035</v>
      </c>
      <c r="I117" s="269"/>
      <c r="J117" s="234">
        <v>56178</v>
      </c>
      <c r="K117" s="194">
        <f>1602+6</f>
        <v>1608</v>
      </c>
      <c r="L117" s="193"/>
      <c r="M117" s="178"/>
      <c r="N117" s="250"/>
      <c r="O117" s="194">
        <v>967</v>
      </c>
      <c r="P117" s="193"/>
      <c r="Q117" s="193"/>
      <c r="R117" s="270">
        <v>677</v>
      </c>
      <c r="S117" s="193"/>
      <c r="T117" s="193"/>
      <c r="U117" s="193"/>
      <c r="V117" s="193"/>
      <c r="W117" s="193"/>
      <c r="X117" s="193"/>
      <c r="Y117" s="227"/>
      <c r="Z117" s="227"/>
      <c r="AA117" s="193"/>
      <c r="AB117" s="193"/>
      <c r="AC117" s="120">
        <f t="shared" si="19"/>
        <v>2575</v>
      </c>
      <c r="AD117" s="120">
        <f t="shared" si="19"/>
        <v>56855</v>
      </c>
      <c r="AE117" s="120"/>
      <c r="AF117" s="233">
        <f t="shared" si="27"/>
        <v>1195315</v>
      </c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345"/>
    </row>
    <row r="118" spans="1:48" ht="28.5" customHeight="1" hidden="1">
      <c r="A118" s="312">
        <v>4603</v>
      </c>
      <c r="B118" s="344" t="s">
        <v>333</v>
      </c>
      <c r="C118" s="133">
        <v>7940</v>
      </c>
      <c r="D118" s="120"/>
      <c r="E118" s="177"/>
      <c r="F118" s="120"/>
      <c r="G118" s="177"/>
      <c r="H118" s="120">
        <f t="shared" si="28"/>
        <v>7940</v>
      </c>
      <c r="I118" s="269"/>
      <c r="J118" s="234"/>
      <c r="K118" s="178"/>
      <c r="L118" s="178"/>
      <c r="M118" s="178"/>
      <c r="N118" s="250"/>
      <c r="O118" s="178"/>
      <c r="P118" s="178"/>
      <c r="Q118" s="178"/>
      <c r="R118" s="178">
        <v>9</v>
      </c>
      <c r="S118" s="178"/>
      <c r="T118" s="178"/>
      <c r="U118" s="178"/>
      <c r="V118" s="178"/>
      <c r="W118" s="178"/>
      <c r="X118" s="178"/>
      <c r="Y118" s="133"/>
      <c r="Z118" s="133"/>
      <c r="AA118" s="178"/>
      <c r="AB118" s="178"/>
      <c r="AC118" s="120">
        <f t="shared" si="19"/>
        <v>0</v>
      </c>
      <c r="AD118" s="120">
        <f t="shared" si="19"/>
        <v>9</v>
      </c>
      <c r="AE118" s="120"/>
      <c r="AF118" s="233">
        <f t="shared" si="27"/>
        <v>7949</v>
      </c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345"/>
    </row>
    <row r="119" spans="1:48" ht="28.5" customHeight="1" hidden="1">
      <c r="A119" s="312">
        <v>4604</v>
      </c>
      <c r="B119" s="344" t="s">
        <v>334</v>
      </c>
      <c r="C119" s="133">
        <v>587090</v>
      </c>
      <c r="D119" s="120"/>
      <c r="E119" s="177"/>
      <c r="F119" s="120"/>
      <c r="G119" s="177"/>
      <c r="H119" s="120">
        <f t="shared" si="28"/>
        <v>587090</v>
      </c>
      <c r="I119" s="269"/>
      <c r="J119" s="234"/>
      <c r="K119" s="178"/>
      <c r="L119" s="193"/>
      <c r="M119" s="178"/>
      <c r="N119" s="250"/>
      <c r="O119" s="178">
        <v>365</v>
      </c>
      <c r="P119" s="193"/>
      <c r="Q119" s="193"/>
      <c r="R119" s="270"/>
      <c r="S119" s="193"/>
      <c r="T119" s="193"/>
      <c r="U119" s="193"/>
      <c r="V119" s="193"/>
      <c r="W119" s="193"/>
      <c r="X119" s="193"/>
      <c r="Y119" s="227"/>
      <c r="Z119" s="227"/>
      <c r="AA119" s="193"/>
      <c r="AB119" s="193"/>
      <c r="AC119" s="120">
        <f t="shared" si="19"/>
        <v>365</v>
      </c>
      <c r="AD119" s="120">
        <f t="shared" si="19"/>
        <v>0</v>
      </c>
      <c r="AE119" s="120"/>
      <c r="AF119" s="233">
        <f t="shared" si="27"/>
        <v>586725</v>
      </c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345"/>
    </row>
    <row r="120" spans="1:48" ht="28.5" customHeight="1" hidden="1">
      <c r="A120" s="312">
        <v>4605</v>
      </c>
      <c r="B120" s="344" t="s">
        <v>335</v>
      </c>
      <c r="C120" s="133">
        <v>2455</v>
      </c>
      <c r="D120" s="120"/>
      <c r="E120" s="177"/>
      <c r="F120" s="120"/>
      <c r="G120" s="177"/>
      <c r="H120" s="120">
        <f t="shared" si="28"/>
        <v>2455</v>
      </c>
      <c r="I120" s="269"/>
      <c r="J120" s="234"/>
      <c r="K120" s="178"/>
      <c r="L120" s="178"/>
      <c r="M120" s="178"/>
      <c r="N120" s="250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33"/>
      <c r="Z120" s="133"/>
      <c r="AA120" s="178"/>
      <c r="AB120" s="178"/>
      <c r="AC120" s="120">
        <f t="shared" si="19"/>
        <v>0</v>
      </c>
      <c r="AD120" s="120">
        <f t="shared" si="19"/>
        <v>0</v>
      </c>
      <c r="AE120" s="120"/>
      <c r="AF120" s="233">
        <f t="shared" si="27"/>
        <v>2455</v>
      </c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345"/>
    </row>
    <row r="121" spans="1:48" ht="28.5" customHeight="1" hidden="1">
      <c r="A121" s="312">
        <v>4606</v>
      </c>
      <c r="B121" s="344" t="s">
        <v>336</v>
      </c>
      <c r="C121" s="133">
        <v>572937</v>
      </c>
      <c r="D121" s="120"/>
      <c r="E121" s="177"/>
      <c r="F121" s="120"/>
      <c r="G121" s="177"/>
      <c r="H121" s="120">
        <f t="shared" si="28"/>
        <v>572937</v>
      </c>
      <c r="I121" s="269"/>
      <c r="J121" s="234">
        <v>893</v>
      </c>
      <c r="K121" s="178"/>
      <c r="L121" s="193"/>
      <c r="M121" s="178"/>
      <c r="N121" s="250"/>
      <c r="O121" s="178">
        <v>12</v>
      </c>
      <c r="P121" s="193"/>
      <c r="Q121" s="193"/>
      <c r="R121" s="270">
        <v>5</v>
      </c>
      <c r="S121" s="193"/>
      <c r="T121" s="193"/>
      <c r="U121" s="193"/>
      <c r="V121" s="193"/>
      <c r="W121" s="193"/>
      <c r="X121" s="193"/>
      <c r="Y121" s="227"/>
      <c r="Z121" s="227"/>
      <c r="AA121" s="193"/>
      <c r="AB121" s="193"/>
      <c r="AC121" s="120">
        <f t="shared" si="19"/>
        <v>12</v>
      </c>
      <c r="AD121" s="120">
        <f t="shared" si="19"/>
        <v>898</v>
      </c>
      <c r="AE121" s="120"/>
      <c r="AF121" s="233">
        <f t="shared" si="27"/>
        <v>573823</v>
      </c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345"/>
    </row>
    <row r="122" spans="1:48" ht="28.5" customHeight="1" hidden="1">
      <c r="A122" s="312">
        <v>4607</v>
      </c>
      <c r="B122" s="344" t="s">
        <v>338</v>
      </c>
      <c r="C122" s="133">
        <v>47103</v>
      </c>
      <c r="D122" s="120"/>
      <c r="E122" s="177"/>
      <c r="F122" s="120"/>
      <c r="G122" s="177"/>
      <c r="H122" s="120">
        <f t="shared" si="28"/>
        <v>47103</v>
      </c>
      <c r="I122" s="271"/>
      <c r="J122" s="234">
        <v>530</v>
      </c>
      <c r="K122" s="178"/>
      <c r="L122" s="193"/>
      <c r="M122" s="178"/>
      <c r="N122" s="193"/>
      <c r="O122" s="178">
        <v>953</v>
      </c>
      <c r="P122" s="193"/>
      <c r="Q122" s="193"/>
      <c r="R122" s="272">
        <v>8264</v>
      </c>
      <c r="S122" s="193"/>
      <c r="T122" s="193"/>
      <c r="U122" s="193"/>
      <c r="V122" s="193"/>
      <c r="W122" s="193"/>
      <c r="X122" s="193"/>
      <c r="Y122" s="227"/>
      <c r="Z122" s="227"/>
      <c r="AA122" s="193"/>
      <c r="AB122" s="193"/>
      <c r="AC122" s="120">
        <f t="shared" si="19"/>
        <v>953</v>
      </c>
      <c r="AD122" s="120">
        <f t="shared" si="19"/>
        <v>8794</v>
      </c>
      <c r="AE122" s="120"/>
      <c r="AF122" s="233">
        <f t="shared" si="27"/>
        <v>54944</v>
      </c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345"/>
    </row>
    <row r="123" spans="1:48" ht="28.5" customHeight="1" hidden="1">
      <c r="A123" s="312">
        <v>4608</v>
      </c>
      <c r="B123" s="344" t="s">
        <v>339</v>
      </c>
      <c r="C123" s="133">
        <v>1277845</v>
      </c>
      <c r="D123" s="120">
        <f>295711</f>
        <v>295711</v>
      </c>
      <c r="E123" s="177" t="s">
        <v>256</v>
      </c>
      <c r="F123" s="120">
        <f>49129+2573</f>
        <v>51702</v>
      </c>
      <c r="G123" s="177" t="s">
        <v>253</v>
      </c>
      <c r="H123" s="120">
        <f t="shared" si="28"/>
        <v>1033836</v>
      </c>
      <c r="I123" s="269"/>
      <c r="J123" s="234">
        <v>52577</v>
      </c>
      <c r="K123" s="178">
        <v>11</v>
      </c>
      <c r="L123" s="193"/>
      <c r="M123" s="178"/>
      <c r="N123" s="178">
        <f>17144+19</f>
        <v>17163</v>
      </c>
      <c r="O123" s="178">
        <f>69+177+25+13</f>
        <v>284</v>
      </c>
      <c r="P123" s="193"/>
      <c r="Q123" s="193"/>
      <c r="R123" s="272">
        <v>17061</v>
      </c>
      <c r="S123" s="193"/>
      <c r="T123" s="193"/>
      <c r="U123" s="193"/>
      <c r="V123" s="193"/>
      <c r="W123" s="193"/>
      <c r="X123" s="193"/>
      <c r="Y123" s="227"/>
      <c r="Z123" s="273">
        <f>100327</f>
        <v>100327</v>
      </c>
      <c r="AA123" s="193"/>
      <c r="AB123" s="193"/>
      <c r="AC123" s="120">
        <f t="shared" si="19"/>
        <v>295</v>
      </c>
      <c r="AD123" s="120">
        <f t="shared" si="19"/>
        <v>187128</v>
      </c>
      <c r="AE123" s="120"/>
      <c r="AF123" s="233">
        <f t="shared" si="27"/>
        <v>1220669</v>
      </c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345"/>
    </row>
    <row r="124" spans="1:48" ht="28.5" customHeight="1" hidden="1">
      <c r="A124" s="312">
        <v>4609</v>
      </c>
      <c r="B124" s="344" t="s">
        <v>341</v>
      </c>
      <c r="C124" s="133">
        <v>113569</v>
      </c>
      <c r="D124" s="120"/>
      <c r="E124" s="177"/>
      <c r="F124" s="120"/>
      <c r="G124" s="177"/>
      <c r="H124" s="120">
        <f t="shared" si="28"/>
        <v>113569</v>
      </c>
      <c r="I124" s="269"/>
      <c r="J124" s="234"/>
      <c r="K124" s="178"/>
      <c r="L124" s="178"/>
      <c r="M124" s="178"/>
      <c r="N124" s="250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33"/>
      <c r="Z124" s="133"/>
      <c r="AA124" s="178"/>
      <c r="AB124" s="178"/>
      <c r="AC124" s="120">
        <f t="shared" si="19"/>
        <v>0</v>
      </c>
      <c r="AD124" s="120">
        <f t="shared" si="19"/>
        <v>0</v>
      </c>
      <c r="AE124" s="120"/>
      <c r="AF124" s="233">
        <f t="shared" si="27"/>
        <v>113569</v>
      </c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345"/>
    </row>
    <row r="125" spans="1:48" ht="28.5" customHeight="1" hidden="1">
      <c r="A125" s="312">
        <v>4611</v>
      </c>
      <c r="B125" s="344" t="s">
        <v>342</v>
      </c>
      <c r="C125" s="133">
        <v>1447570</v>
      </c>
      <c r="D125" s="120"/>
      <c r="E125" s="177"/>
      <c r="F125" s="120"/>
      <c r="G125" s="177"/>
      <c r="H125" s="120">
        <f t="shared" si="28"/>
        <v>1447570</v>
      </c>
      <c r="I125" s="269"/>
      <c r="J125" s="234">
        <v>70403</v>
      </c>
      <c r="K125" s="178"/>
      <c r="L125" s="193"/>
      <c r="M125" s="178"/>
      <c r="N125" s="250"/>
      <c r="O125" s="178">
        <v>651</v>
      </c>
      <c r="P125" s="193"/>
      <c r="Q125" s="193"/>
      <c r="R125" s="272">
        <v>15549</v>
      </c>
      <c r="S125" s="193"/>
      <c r="T125" s="193"/>
      <c r="U125" s="193"/>
      <c r="V125" s="193"/>
      <c r="W125" s="193"/>
      <c r="X125" s="193"/>
      <c r="Y125" s="227"/>
      <c r="Z125" s="227"/>
      <c r="AA125" s="193"/>
      <c r="AB125" s="193"/>
      <c r="AC125" s="120">
        <f t="shared" si="19"/>
        <v>651</v>
      </c>
      <c r="AD125" s="120">
        <f t="shared" si="19"/>
        <v>85952</v>
      </c>
      <c r="AE125" s="120"/>
      <c r="AF125" s="233">
        <f t="shared" si="27"/>
        <v>1532871</v>
      </c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345"/>
    </row>
    <row r="126" spans="1:48" ht="28.5" customHeight="1" hidden="1">
      <c r="A126" s="312">
        <v>4612</v>
      </c>
      <c r="B126" s="344" t="s">
        <v>343</v>
      </c>
      <c r="C126" s="133">
        <v>116673</v>
      </c>
      <c r="D126" s="120"/>
      <c r="E126" s="177"/>
      <c r="F126" s="120"/>
      <c r="G126" s="177"/>
      <c r="H126" s="120">
        <f t="shared" si="28"/>
        <v>116673</v>
      </c>
      <c r="I126" s="271"/>
      <c r="J126" s="234">
        <v>809</v>
      </c>
      <c r="K126" s="178"/>
      <c r="L126" s="178"/>
      <c r="M126" s="178"/>
      <c r="N126" s="250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33"/>
      <c r="Z126" s="133"/>
      <c r="AA126" s="178"/>
      <c r="AB126" s="178"/>
      <c r="AC126" s="120">
        <f t="shared" si="19"/>
        <v>0</v>
      </c>
      <c r="AD126" s="120">
        <f t="shared" si="19"/>
        <v>809</v>
      </c>
      <c r="AE126" s="120"/>
      <c r="AF126" s="233">
        <f t="shared" si="27"/>
        <v>117482</v>
      </c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345"/>
    </row>
    <row r="127" spans="1:48" ht="21" customHeight="1">
      <c r="A127" s="316"/>
      <c r="B127" s="350" t="s">
        <v>491</v>
      </c>
      <c r="C127" s="133">
        <v>-1241451</v>
      </c>
      <c r="D127" s="133">
        <f>SUM(D128:D136)</f>
        <v>-9337</v>
      </c>
      <c r="E127" s="177"/>
      <c r="F127" s="133">
        <f>SUM(F128:F136)</f>
        <v>-873029</v>
      </c>
      <c r="G127" s="177"/>
      <c r="H127" s="180">
        <f>C127+D127-F127</f>
        <v>-377759</v>
      </c>
      <c r="I127" s="178">
        <f aca="true" t="shared" si="29" ref="I127:AB127">SUM(I128:I136)</f>
        <v>-21836</v>
      </c>
      <c r="J127" s="178">
        <f t="shared" si="29"/>
        <v>0</v>
      </c>
      <c r="K127" s="178">
        <f t="shared" si="29"/>
        <v>0</v>
      </c>
      <c r="L127" s="178">
        <f t="shared" si="29"/>
        <v>-1619</v>
      </c>
      <c r="M127" s="178">
        <f t="shared" si="29"/>
        <v>-46988</v>
      </c>
      <c r="N127" s="178">
        <f t="shared" si="29"/>
        <v>0</v>
      </c>
      <c r="O127" s="178">
        <f t="shared" si="29"/>
        <v>0</v>
      </c>
      <c r="P127" s="178">
        <f t="shared" si="29"/>
        <v>-3232</v>
      </c>
      <c r="Q127" s="178">
        <f t="shared" si="29"/>
        <v>-562</v>
      </c>
      <c r="R127" s="178">
        <f t="shared" si="29"/>
        <v>0</v>
      </c>
      <c r="S127" s="178">
        <f t="shared" si="29"/>
        <v>0</v>
      </c>
      <c r="T127" s="178">
        <f t="shared" si="29"/>
        <v>0</v>
      </c>
      <c r="U127" s="178">
        <f t="shared" si="29"/>
        <v>-78</v>
      </c>
      <c r="V127" s="178">
        <f t="shared" si="29"/>
        <v>0</v>
      </c>
      <c r="W127" s="178">
        <f t="shared" si="29"/>
        <v>0</v>
      </c>
      <c r="X127" s="178">
        <f t="shared" si="29"/>
        <v>0</v>
      </c>
      <c r="Y127" s="178">
        <f t="shared" si="29"/>
        <v>-18788</v>
      </c>
      <c r="Z127" s="178">
        <f t="shared" si="29"/>
        <v>0</v>
      </c>
      <c r="AA127" s="178">
        <f t="shared" si="29"/>
        <v>0</v>
      </c>
      <c r="AB127" s="178">
        <f t="shared" si="29"/>
        <v>0</v>
      </c>
      <c r="AC127" s="120">
        <f t="shared" si="19"/>
        <v>-88252</v>
      </c>
      <c r="AD127" s="120">
        <f t="shared" si="19"/>
        <v>-4851</v>
      </c>
      <c r="AE127" s="178">
        <f>SUM(AE128:AE136)</f>
        <v>0</v>
      </c>
      <c r="AF127" s="236">
        <f aca="true" t="shared" si="30" ref="AF127:AF136">H127+AC127-AD127</f>
        <v>-461160</v>
      </c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345">
        <v>-650527</v>
      </c>
    </row>
    <row r="128" spans="1:48" ht="28.5" customHeight="1" hidden="1">
      <c r="A128" s="313">
        <v>5601</v>
      </c>
      <c r="B128" s="348" t="s">
        <v>405</v>
      </c>
      <c r="C128" s="8">
        <v>-100364</v>
      </c>
      <c r="D128" s="4"/>
      <c r="E128" s="68"/>
      <c r="F128" s="4"/>
      <c r="G128" s="68"/>
      <c r="H128" s="4">
        <f aca="true" t="shared" si="31" ref="H128:H136">C128+D128-F128</f>
        <v>-100364</v>
      </c>
      <c r="I128" s="241">
        <v>-15582</v>
      </c>
      <c r="J128" s="240"/>
      <c r="K128" s="15"/>
      <c r="L128" s="27">
        <f>-6-1602</f>
        <v>-1608</v>
      </c>
      <c r="M128" s="15">
        <f>-1083-1872-15</f>
        <v>-2970</v>
      </c>
      <c r="N128" s="244"/>
      <c r="O128" s="15"/>
      <c r="P128" s="15">
        <f>-953-967</f>
        <v>-1920</v>
      </c>
      <c r="Q128" s="15">
        <v>-376</v>
      </c>
      <c r="R128" s="15"/>
      <c r="S128" s="15"/>
      <c r="T128" s="15"/>
      <c r="U128" s="15"/>
      <c r="V128" s="15"/>
      <c r="W128" s="15"/>
      <c r="X128" s="15"/>
      <c r="Y128" s="8"/>
      <c r="Z128" s="8"/>
      <c r="AA128" s="15"/>
      <c r="AB128" s="15"/>
      <c r="AC128" s="3">
        <f t="shared" si="19"/>
        <v>-18928</v>
      </c>
      <c r="AD128" s="3">
        <f t="shared" si="19"/>
        <v>-3528</v>
      </c>
      <c r="AE128" s="4"/>
      <c r="AF128" s="258">
        <f t="shared" si="30"/>
        <v>-115764</v>
      </c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349"/>
    </row>
    <row r="129" spans="1:48" ht="28.5" customHeight="1" hidden="1">
      <c r="A129" s="313">
        <v>5602</v>
      </c>
      <c r="B129" s="348" t="s">
        <v>172</v>
      </c>
      <c r="C129" s="8"/>
      <c r="D129" s="4"/>
      <c r="E129" s="68" t="s">
        <v>257</v>
      </c>
      <c r="F129" s="4"/>
      <c r="G129" s="68"/>
      <c r="H129" s="4">
        <f t="shared" si="31"/>
        <v>0</v>
      </c>
      <c r="I129" s="241"/>
      <c r="J129" s="240"/>
      <c r="K129" s="15"/>
      <c r="L129" s="27"/>
      <c r="M129" s="15"/>
      <c r="N129" s="244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8"/>
      <c r="Z129" s="8"/>
      <c r="AA129" s="15"/>
      <c r="AB129" s="15"/>
      <c r="AC129" s="3">
        <f t="shared" si="19"/>
        <v>0</v>
      </c>
      <c r="AD129" s="3">
        <f t="shared" si="19"/>
        <v>0</v>
      </c>
      <c r="AE129" s="4"/>
      <c r="AF129" s="258">
        <f t="shared" si="30"/>
        <v>0</v>
      </c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349"/>
    </row>
    <row r="130" spans="1:48" ht="28.5" customHeight="1" hidden="1">
      <c r="A130" s="313">
        <v>5603</v>
      </c>
      <c r="B130" s="348" t="s">
        <v>406</v>
      </c>
      <c r="C130" s="8">
        <v>-278183</v>
      </c>
      <c r="D130" s="4"/>
      <c r="E130" s="68"/>
      <c r="F130" s="4">
        <f>-(184205+89782)</f>
        <v>-273987</v>
      </c>
      <c r="G130" s="68" t="s">
        <v>254</v>
      </c>
      <c r="H130" s="4">
        <f t="shared" si="31"/>
        <v>-4196</v>
      </c>
      <c r="I130" s="241"/>
      <c r="J130" s="240"/>
      <c r="K130" s="15"/>
      <c r="L130" s="26"/>
      <c r="M130" s="15"/>
      <c r="N130" s="244"/>
      <c r="O130" s="15"/>
      <c r="P130" s="15"/>
      <c r="Q130" s="15">
        <v>-14</v>
      </c>
      <c r="R130" s="15"/>
      <c r="S130" s="15"/>
      <c r="T130" s="15"/>
      <c r="U130" s="15"/>
      <c r="V130" s="15"/>
      <c r="W130" s="15"/>
      <c r="X130" s="15"/>
      <c r="Y130" s="8"/>
      <c r="Z130" s="8"/>
      <c r="AA130" s="15"/>
      <c r="AB130" s="15"/>
      <c r="AC130" s="3">
        <f t="shared" si="19"/>
        <v>-14</v>
      </c>
      <c r="AD130" s="3">
        <f t="shared" si="19"/>
        <v>0</v>
      </c>
      <c r="AE130" s="4"/>
      <c r="AF130" s="258">
        <f t="shared" si="30"/>
        <v>-4210</v>
      </c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349"/>
    </row>
    <row r="131" spans="1:48" ht="34.5" customHeight="1" hidden="1">
      <c r="A131" s="313">
        <v>5604</v>
      </c>
      <c r="B131" s="348" t="s">
        <v>407</v>
      </c>
      <c r="C131" s="8">
        <v>-161</v>
      </c>
      <c r="D131" s="4"/>
      <c r="E131" s="68"/>
      <c r="F131" s="4"/>
      <c r="G131" s="68"/>
      <c r="H131" s="4">
        <f t="shared" si="31"/>
        <v>-161</v>
      </c>
      <c r="I131" s="241"/>
      <c r="J131" s="240"/>
      <c r="K131" s="15"/>
      <c r="L131" s="15"/>
      <c r="M131" s="15">
        <v>-367</v>
      </c>
      <c r="N131" s="244"/>
      <c r="O131" s="15"/>
      <c r="P131" s="15">
        <v>-365</v>
      </c>
      <c r="Q131" s="15"/>
      <c r="R131" s="15"/>
      <c r="S131" s="15"/>
      <c r="T131" s="15"/>
      <c r="U131" s="15"/>
      <c r="V131" s="15"/>
      <c r="W131" s="15"/>
      <c r="X131" s="15"/>
      <c r="Y131" s="8"/>
      <c r="Z131" s="8"/>
      <c r="AA131" s="15"/>
      <c r="AB131" s="15"/>
      <c r="AC131" s="3">
        <f t="shared" si="19"/>
        <v>-367</v>
      </c>
      <c r="AD131" s="3">
        <f t="shared" si="19"/>
        <v>-365</v>
      </c>
      <c r="AE131" s="4"/>
      <c r="AF131" s="258">
        <f t="shared" si="30"/>
        <v>-163</v>
      </c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349"/>
    </row>
    <row r="132" spans="1:48" ht="34.5" customHeight="1" hidden="1">
      <c r="A132" s="313">
        <v>5605</v>
      </c>
      <c r="B132" s="348" t="s">
        <v>370</v>
      </c>
      <c r="C132" s="8"/>
      <c r="D132" s="4"/>
      <c r="E132" s="68"/>
      <c r="F132" s="4"/>
      <c r="G132" s="68"/>
      <c r="H132" s="4"/>
      <c r="I132" s="241"/>
      <c r="J132" s="240"/>
      <c r="K132" s="15"/>
      <c r="L132" s="15"/>
      <c r="M132" s="15"/>
      <c r="N132" s="244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8">
        <f>-18328</f>
        <v>-18328</v>
      </c>
      <c r="Z132" s="8"/>
      <c r="AA132" s="15"/>
      <c r="AB132" s="15"/>
      <c r="AC132" s="3">
        <f>I132+K132+M132+O132+Q132+S132+U132+W132+Y132+AA132</f>
        <v>-18328</v>
      </c>
      <c r="AD132" s="3">
        <f>J132+L132+N132+P132+R132+T132+V132+X132+Z132+AB132</f>
        <v>0</v>
      </c>
      <c r="AE132" s="4"/>
      <c r="AF132" s="258">
        <f t="shared" si="30"/>
        <v>-18328</v>
      </c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349"/>
    </row>
    <row r="133" spans="1:48" ht="28.5" customHeight="1" hidden="1">
      <c r="A133" s="313">
        <v>5606</v>
      </c>
      <c r="B133" s="348" t="s">
        <v>409</v>
      </c>
      <c r="C133" s="8">
        <v>-779</v>
      </c>
      <c r="D133" s="4"/>
      <c r="E133" s="68"/>
      <c r="F133" s="4"/>
      <c r="G133" s="68"/>
      <c r="H133" s="4">
        <f t="shared" si="31"/>
        <v>-779</v>
      </c>
      <c r="I133" s="241"/>
      <c r="J133" s="240"/>
      <c r="K133" s="15"/>
      <c r="L133" s="15"/>
      <c r="M133" s="15">
        <v>-12</v>
      </c>
      <c r="N133" s="244"/>
      <c r="O133" s="15"/>
      <c r="P133" s="15">
        <v>-12</v>
      </c>
      <c r="Q133" s="15"/>
      <c r="R133" s="15"/>
      <c r="S133" s="15"/>
      <c r="T133" s="15"/>
      <c r="U133" s="15"/>
      <c r="V133" s="15"/>
      <c r="W133" s="15"/>
      <c r="X133" s="15"/>
      <c r="Y133" s="8"/>
      <c r="Z133" s="8"/>
      <c r="AA133" s="15"/>
      <c r="AB133" s="15"/>
      <c r="AC133" s="3">
        <f t="shared" si="19"/>
        <v>-12</v>
      </c>
      <c r="AD133" s="3">
        <f t="shared" si="19"/>
        <v>-12</v>
      </c>
      <c r="AE133" s="4"/>
      <c r="AF133" s="258">
        <f t="shared" si="30"/>
        <v>-779</v>
      </c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349"/>
    </row>
    <row r="134" spans="1:48" ht="28.5" customHeight="1" hidden="1">
      <c r="A134" s="313">
        <v>5607</v>
      </c>
      <c r="B134" s="348" t="s">
        <v>410</v>
      </c>
      <c r="C134" s="8">
        <v>-137953</v>
      </c>
      <c r="D134" s="4"/>
      <c r="E134" s="68"/>
      <c r="F134" s="4"/>
      <c r="G134" s="68"/>
      <c r="H134" s="4">
        <f t="shared" si="31"/>
        <v>-137953</v>
      </c>
      <c r="I134" s="241">
        <v>-2282</v>
      </c>
      <c r="J134" s="240"/>
      <c r="K134" s="15"/>
      <c r="L134" s="15">
        <v>-11</v>
      </c>
      <c r="M134" s="15"/>
      <c r="N134" s="244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8"/>
      <c r="Z134" s="8"/>
      <c r="AA134" s="15"/>
      <c r="AB134" s="15"/>
      <c r="AC134" s="3">
        <f t="shared" si="19"/>
        <v>-2282</v>
      </c>
      <c r="AD134" s="3">
        <f t="shared" si="19"/>
        <v>-11</v>
      </c>
      <c r="AE134" s="4"/>
      <c r="AF134" s="258">
        <f t="shared" si="30"/>
        <v>-140224</v>
      </c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349"/>
    </row>
    <row r="135" spans="1:48" ht="28.5" customHeight="1" hidden="1">
      <c r="A135" s="313">
        <v>5608</v>
      </c>
      <c r="B135" s="348" t="s">
        <v>411</v>
      </c>
      <c r="C135" s="8">
        <v>-717623</v>
      </c>
      <c r="D135" s="4">
        <f>-4569-4768</f>
        <v>-9337</v>
      </c>
      <c r="E135" s="68" t="s">
        <v>454</v>
      </c>
      <c r="F135" s="4">
        <f>-578833-20209</f>
        <v>-599042</v>
      </c>
      <c r="G135" s="68" t="s">
        <v>441</v>
      </c>
      <c r="H135" s="4">
        <f t="shared" si="31"/>
        <v>-127918</v>
      </c>
      <c r="I135" s="241">
        <v>-3972</v>
      </c>
      <c r="J135" s="240"/>
      <c r="K135" s="15"/>
      <c r="L135" s="15"/>
      <c r="M135" s="15">
        <f>-(162+666+186+25+14+1014)-31347-9989-236</f>
        <v>-43639</v>
      </c>
      <c r="N135" s="244"/>
      <c r="O135" s="15"/>
      <c r="P135" s="15">
        <f>-(69+651+177+25+13)</f>
        <v>-935</v>
      </c>
      <c r="Q135" s="15">
        <v>-172</v>
      </c>
      <c r="R135" s="15"/>
      <c r="S135" s="15"/>
      <c r="T135" s="15"/>
      <c r="U135" s="15">
        <v>-78</v>
      </c>
      <c r="V135" s="15"/>
      <c r="W135" s="15"/>
      <c r="X135" s="15"/>
      <c r="Y135" s="8">
        <f>-141</f>
        <v>-141</v>
      </c>
      <c r="Z135" s="8"/>
      <c r="AA135" s="15"/>
      <c r="AB135" s="15"/>
      <c r="AC135" s="3">
        <f t="shared" si="19"/>
        <v>-48002</v>
      </c>
      <c r="AD135" s="3">
        <f t="shared" si="19"/>
        <v>-935</v>
      </c>
      <c r="AE135" s="4"/>
      <c r="AF135" s="258">
        <f t="shared" si="30"/>
        <v>-174985</v>
      </c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349"/>
    </row>
    <row r="136" spans="1:48" ht="28.5" customHeight="1" hidden="1">
      <c r="A136" s="313">
        <v>5609</v>
      </c>
      <c r="B136" s="348" t="s">
        <v>412</v>
      </c>
      <c r="C136" s="8">
        <v>-6657</v>
      </c>
      <c r="D136" s="4"/>
      <c r="E136" s="68"/>
      <c r="F136" s="4"/>
      <c r="G136" s="68"/>
      <c r="H136" s="4">
        <f t="shared" si="31"/>
        <v>-6657</v>
      </c>
      <c r="I136" s="241"/>
      <c r="J136" s="240"/>
      <c r="K136" s="15"/>
      <c r="L136" s="15"/>
      <c r="M136" s="15"/>
      <c r="N136" s="244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8">
        <f>-319</f>
        <v>-319</v>
      </c>
      <c r="Z136" s="8"/>
      <c r="AA136" s="15"/>
      <c r="AB136" s="15"/>
      <c r="AC136" s="3">
        <f t="shared" si="19"/>
        <v>-319</v>
      </c>
      <c r="AD136" s="3">
        <f t="shared" si="19"/>
        <v>0</v>
      </c>
      <c r="AE136" s="4"/>
      <c r="AF136" s="258">
        <f t="shared" si="30"/>
        <v>-6976</v>
      </c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349"/>
    </row>
    <row r="137" spans="1:48" ht="21" customHeight="1">
      <c r="A137" s="317"/>
      <c r="B137" s="351" t="s">
        <v>492</v>
      </c>
      <c r="C137" s="259">
        <f>C116+C127</f>
        <v>3942006</v>
      </c>
      <c r="D137" s="259">
        <f>D116+D127</f>
        <v>286374</v>
      </c>
      <c r="E137" s="260"/>
      <c r="F137" s="259">
        <f>F116+F127</f>
        <v>-821327</v>
      </c>
      <c r="G137" s="260"/>
      <c r="H137" s="259">
        <f aca="true" t="shared" si="32" ref="H137:P137">H116+H127</f>
        <v>4692449</v>
      </c>
      <c r="I137" s="261">
        <f t="shared" si="32"/>
        <v>-21836</v>
      </c>
      <c r="J137" s="261">
        <f t="shared" si="32"/>
        <v>181390</v>
      </c>
      <c r="K137" s="261">
        <f t="shared" si="32"/>
        <v>1619</v>
      </c>
      <c r="L137" s="261">
        <f t="shared" si="32"/>
        <v>-1619</v>
      </c>
      <c r="M137" s="261">
        <f t="shared" si="32"/>
        <v>-46988</v>
      </c>
      <c r="N137" s="261">
        <f t="shared" si="32"/>
        <v>17163</v>
      </c>
      <c r="O137" s="261">
        <f t="shared" si="32"/>
        <v>3232</v>
      </c>
      <c r="P137" s="261">
        <f t="shared" si="32"/>
        <v>-3232</v>
      </c>
      <c r="Q137" s="261">
        <f>Q116+Q127</f>
        <v>-562</v>
      </c>
      <c r="R137" s="261">
        <f>R116+R127</f>
        <v>41565</v>
      </c>
      <c r="S137" s="261"/>
      <c r="T137" s="261"/>
      <c r="U137" s="259">
        <f aca="true" t="shared" si="33" ref="U137:AB137">U116+U127</f>
        <v>-78</v>
      </c>
      <c r="V137" s="259">
        <f t="shared" si="33"/>
        <v>0</v>
      </c>
      <c r="W137" s="259">
        <f t="shared" si="33"/>
        <v>0</v>
      </c>
      <c r="X137" s="259">
        <f t="shared" si="33"/>
        <v>0</v>
      </c>
      <c r="Y137" s="259">
        <f t="shared" si="33"/>
        <v>-18788</v>
      </c>
      <c r="Z137" s="259">
        <f t="shared" si="33"/>
        <v>100327</v>
      </c>
      <c r="AA137" s="259">
        <f t="shared" si="33"/>
        <v>0</v>
      </c>
      <c r="AB137" s="259">
        <f t="shared" si="33"/>
        <v>0</v>
      </c>
      <c r="AC137" s="262">
        <f t="shared" si="19"/>
        <v>-83401</v>
      </c>
      <c r="AD137" s="262">
        <f t="shared" si="19"/>
        <v>335594</v>
      </c>
      <c r="AE137" s="259">
        <f>AE116+AE127</f>
        <v>0</v>
      </c>
      <c r="AF137" s="259">
        <f>AF116+AF127</f>
        <v>4944642</v>
      </c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352">
        <f>AV116+AV127</f>
        <v>2542098</v>
      </c>
    </row>
    <row r="138" spans="1:48" ht="21" customHeight="1">
      <c r="A138" s="316"/>
      <c r="B138" s="350" t="s">
        <v>493</v>
      </c>
      <c r="C138" s="133">
        <v>-496111</v>
      </c>
      <c r="D138" s="133">
        <f>SUM(D139:D144)</f>
        <v>0</v>
      </c>
      <c r="E138" s="177"/>
      <c r="F138" s="133">
        <f>SUM(F139:F144)</f>
        <v>0</v>
      </c>
      <c r="G138" s="177"/>
      <c r="H138" s="133">
        <f aca="true" t="shared" si="34" ref="H138:AB138">SUM(H139:H144)</f>
        <v>-496605</v>
      </c>
      <c r="I138" s="133">
        <f t="shared" si="34"/>
        <v>0</v>
      </c>
      <c r="J138" s="133">
        <f t="shared" si="34"/>
        <v>0</v>
      </c>
      <c r="K138" s="133">
        <f t="shared" si="34"/>
        <v>0</v>
      </c>
      <c r="L138" s="133">
        <f t="shared" si="34"/>
        <v>0</v>
      </c>
      <c r="M138" s="133">
        <f t="shared" si="34"/>
        <v>-75227</v>
      </c>
      <c r="N138" s="133">
        <f t="shared" si="34"/>
        <v>125680</v>
      </c>
      <c r="O138" s="133">
        <f t="shared" si="34"/>
        <v>0</v>
      </c>
      <c r="P138" s="133">
        <f t="shared" si="34"/>
        <v>0</v>
      </c>
      <c r="Q138" s="133">
        <f t="shared" si="34"/>
        <v>-905</v>
      </c>
      <c r="R138" s="133">
        <f t="shared" si="34"/>
        <v>1109</v>
      </c>
      <c r="S138" s="133">
        <f t="shared" si="34"/>
        <v>0</v>
      </c>
      <c r="T138" s="133">
        <f t="shared" si="34"/>
        <v>0</v>
      </c>
      <c r="U138" s="133">
        <f t="shared" si="34"/>
        <v>0</v>
      </c>
      <c r="V138" s="133">
        <f t="shared" si="34"/>
        <v>0</v>
      </c>
      <c r="W138" s="133">
        <f t="shared" si="34"/>
        <v>0</v>
      </c>
      <c r="X138" s="133">
        <f t="shared" si="34"/>
        <v>0</v>
      </c>
      <c r="Y138" s="133">
        <f t="shared" si="34"/>
        <v>0</v>
      </c>
      <c r="Z138" s="133">
        <f t="shared" si="34"/>
        <v>0</v>
      </c>
      <c r="AA138" s="133">
        <f t="shared" si="34"/>
        <v>0</v>
      </c>
      <c r="AB138" s="133">
        <f t="shared" si="34"/>
        <v>0</v>
      </c>
      <c r="AC138" s="120">
        <f t="shared" si="19"/>
        <v>-76132</v>
      </c>
      <c r="AD138" s="120">
        <f t="shared" si="19"/>
        <v>126789</v>
      </c>
      <c r="AE138" s="133">
        <f>SUM(AE139:AE144)</f>
        <v>0</v>
      </c>
      <c r="AF138" s="233">
        <f>H138+AD138+AC138</f>
        <v>-445948</v>
      </c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345">
        <v>136823</v>
      </c>
    </row>
    <row r="139" spans="1:48" ht="28.5" customHeight="1" hidden="1">
      <c r="A139" s="312">
        <v>4510</v>
      </c>
      <c r="B139" s="344" t="s">
        <v>326</v>
      </c>
      <c r="C139" s="133">
        <v>173790</v>
      </c>
      <c r="D139" s="133"/>
      <c r="E139" s="192"/>
      <c r="F139" s="133"/>
      <c r="G139" s="192"/>
      <c r="H139" s="120">
        <f>C139+F139-D139</f>
        <v>173790</v>
      </c>
      <c r="I139" s="269"/>
      <c r="J139" s="271"/>
      <c r="K139" s="178"/>
      <c r="L139" s="178"/>
      <c r="M139" s="178"/>
      <c r="N139" s="178">
        <v>10278</v>
      </c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33"/>
      <c r="Z139" s="133"/>
      <c r="AA139" s="178"/>
      <c r="AB139" s="178"/>
      <c r="AC139" s="120">
        <f t="shared" si="19"/>
        <v>0</v>
      </c>
      <c r="AD139" s="120">
        <f t="shared" si="19"/>
        <v>10278</v>
      </c>
      <c r="AE139" s="133"/>
      <c r="AF139" s="233">
        <f>H139+AD139-AC139</f>
        <v>184068</v>
      </c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345"/>
    </row>
    <row r="140" spans="1:48" ht="28.5" customHeight="1" hidden="1">
      <c r="A140" s="313">
        <v>5510</v>
      </c>
      <c r="B140" s="344" t="s">
        <v>329</v>
      </c>
      <c r="C140" s="133">
        <v>-56602</v>
      </c>
      <c r="D140" s="181"/>
      <c r="E140" s="177"/>
      <c r="F140" s="181"/>
      <c r="G140" s="177"/>
      <c r="H140" s="181">
        <f>C140+D140-F140</f>
        <v>-56602</v>
      </c>
      <c r="I140" s="269"/>
      <c r="J140" s="269"/>
      <c r="K140" s="178"/>
      <c r="L140" s="178"/>
      <c r="M140" s="178">
        <v>-11862</v>
      </c>
      <c r="N140" s="250"/>
      <c r="O140" s="178"/>
      <c r="P140" s="178"/>
      <c r="Q140" s="178">
        <v>-14</v>
      </c>
      <c r="R140" s="178"/>
      <c r="S140" s="178"/>
      <c r="T140" s="178"/>
      <c r="U140" s="178"/>
      <c r="V140" s="178"/>
      <c r="W140" s="178"/>
      <c r="X140" s="178"/>
      <c r="Y140" s="133"/>
      <c r="Z140" s="133"/>
      <c r="AA140" s="178"/>
      <c r="AB140" s="178"/>
      <c r="AC140" s="120">
        <f t="shared" si="19"/>
        <v>-11876</v>
      </c>
      <c r="AD140" s="120">
        <f t="shared" si="19"/>
        <v>0</v>
      </c>
      <c r="AE140" s="120"/>
      <c r="AF140" s="236">
        <f>H140+AC140-AD140</f>
        <v>-68478</v>
      </c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345"/>
    </row>
    <row r="141" spans="1:48" ht="36" customHeight="1" hidden="1">
      <c r="A141" s="312">
        <v>4709</v>
      </c>
      <c r="B141" s="344" t="s">
        <v>476</v>
      </c>
      <c r="C141" s="133"/>
      <c r="D141" s="133"/>
      <c r="E141" s="192"/>
      <c r="F141" s="133"/>
      <c r="G141" s="192"/>
      <c r="H141" s="120">
        <f>C141+F141-D141</f>
        <v>0</v>
      </c>
      <c r="I141" s="269"/>
      <c r="J141" s="269"/>
      <c r="K141" s="178"/>
      <c r="L141" s="178"/>
      <c r="M141" s="178"/>
      <c r="N141" s="250">
        <v>115402</v>
      </c>
      <c r="O141" s="178"/>
      <c r="P141" s="178"/>
      <c r="Q141" s="178"/>
      <c r="R141" s="178">
        <v>1109</v>
      </c>
      <c r="S141" s="178"/>
      <c r="T141" s="178"/>
      <c r="U141" s="178"/>
      <c r="V141" s="178"/>
      <c r="W141" s="178"/>
      <c r="X141" s="178"/>
      <c r="Y141" s="133"/>
      <c r="Z141" s="133"/>
      <c r="AA141" s="178"/>
      <c r="AB141" s="178"/>
      <c r="AC141" s="120">
        <f t="shared" si="19"/>
        <v>0</v>
      </c>
      <c r="AD141" s="120">
        <f t="shared" si="19"/>
        <v>116511</v>
      </c>
      <c r="AE141" s="133"/>
      <c r="AF141" s="233">
        <f>H141+AD141-AC141</f>
        <v>116511</v>
      </c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345"/>
    </row>
    <row r="142" spans="1:48" ht="36" customHeight="1" hidden="1">
      <c r="A142" s="313">
        <v>5709</v>
      </c>
      <c r="B142" s="344" t="s">
        <v>413</v>
      </c>
      <c r="C142" s="133">
        <v>-590541</v>
      </c>
      <c r="D142" s="181"/>
      <c r="E142" s="177"/>
      <c r="F142" s="181"/>
      <c r="G142" s="177"/>
      <c r="H142" s="181">
        <f>C142+D142-F142</f>
        <v>-590541</v>
      </c>
      <c r="I142" s="269"/>
      <c r="J142" s="269"/>
      <c r="K142" s="178"/>
      <c r="L142" s="178"/>
      <c r="M142" s="178">
        <v>-63365</v>
      </c>
      <c r="N142" s="250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33"/>
      <c r="Z142" s="133"/>
      <c r="AA142" s="178"/>
      <c r="AB142" s="178"/>
      <c r="AC142" s="120">
        <f t="shared" si="19"/>
        <v>-63365</v>
      </c>
      <c r="AD142" s="120">
        <f t="shared" si="19"/>
        <v>0</v>
      </c>
      <c r="AE142" s="120"/>
      <c r="AF142" s="236">
        <f>H142+AC142-AD142</f>
        <v>-653906</v>
      </c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345"/>
    </row>
    <row r="143" spans="1:48" ht="43.5" customHeight="1" hidden="1">
      <c r="A143" s="312">
        <v>4733</v>
      </c>
      <c r="B143" s="344" t="s">
        <v>328</v>
      </c>
      <c r="C143" s="133">
        <f>88160-C146</f>
        <v>17884</v>
      </c>
      <c r="D143" s="133"/>
      <c r="E143" s="192"/>
      <c r="F143" s="133"/>
      <c r="G143" s="192"/>
      <c r="H143" s="120">
        <f>C143+F143-D143</f>
        <v>17884</v>
      </c>
      <c r="I143" s="269"/>
      <c r="J143" s="269"/>
      <c r="K143" s="178"/>
      <c r="L143" s="178"/>
      <c r="M143" s="178"/>
      <c r="N143" s="250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33"/>
      <c r="Z143" s="133"/>
      <c r="AA143" s="178"/>
      <c r="AB143" s="178"/>
      <c r="AC143" s="120">
        <f t="shared" si="19"/>
        <v>0</v>
      </c>
      <c r="AD143" s="120">
        <f t="shared" si="19"/>
        <v>0</v>
      </c>
      <c r="AE143" s="133"/>
      <c r="AF143" s="233">
        <f>H143+AD143-AC143</f>
        <v>17884</v>
      </c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345"/>
    </row>
    <row r="144" spans="1:48" ht="47.25" customHeight="1" hidden="1">
      <c r="A144" s="313">
        <v>5733</v>
      </c>
      <c r="B144" s="344" t="s">
        <v>330</v>
      </c>
      <c r="C144" s="133">
        <f>-273952-C147</f>
        <v>-41136</v>
      </c>
      <c r="D144" s="181"/>
      <c r="E144" s="177"/>
      <c r="F144" s="181"/>
      <c r="G144" s="177"/>
      <c r="H144" s="181">
        <f>C144+D144-F144</f>
        <v>-41136</v>
      </c>
      <c r="I144" s="271"/>
      <c r="J144" s="269"/>
      <c r="K144" s="178"/>
      <c r="L144" s="178"/>
      <c r="M144" s="178"/>
      <c r="N144" s="250"/>
      <c r="O144" s="178"/>
      <c r="P144" s="178"/>
      <c r="Q144" s="178">
        <v>-891</v>
      </c>
      <c r="R144" s="178"/>
      <c r="S144" s="178"/>
      <c r="T144" s="178"/>
      <c r="U144" s="178"/>
      <c r="V144" s="178"/>
      <c r="W144" s="178"/>
      <c r="X144" s="178"/>
      <c r="Y144" s="133"/>
      <c r="Z144" s="133"/>
      <c r="AA144" s="178"/>
      <c r="AB144" s="178"/>
      <c r="AC144" s="120">
        <f t="shared" si="19"/>
        <v>-891</v>
      </c>
      <c r="AD144" s="120">
        <f t="shared" si="19"/>
        <v>0</v>
      </c>
      <c r="AE144" s="120"/>
      <c r="AF144" s="236">
        <f>H144+AC144-AD144</f>
        <v>-42027</v>
      </c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345"/>
    </row>
    <row r="145" spans="1:48" ht="29.25" customHeight="1">
      <c r="A145" s="324"/>
      <c r="B145" s="344" t="s">
        <v>408</v>
      </c>
      <c r="C145" s="133">
        <f>SUM(C146:C147)</f>
        <v>-162540</v>
      </c>
      <c r="D145" s="120">
        <f>SUM(D146:D147)</f>
        <v>0</v>
      </c>
      <c r="E145" s="192"/>
      <c r="F145" s="120">
        <f>SUM(F146:F147)</f>
        <v>0</v>
      </c>
      <c r="G145" s="192"/>
      <c r="H145" s="120">
        <f>SUM(H146:H147)</f>
        <v>-162540</v>
      </c>
      <c r="I145" s="120">
        <f aca="true" t="shared" si="35" ref="I145:AB145">SUM(I146:I147)</f>
        <v>0</v>
      </c>
      <c r="J145" s="120">
        <f t="shared" si="35"/>
        <v>0</v>
      </c>
      <c r="K145" s="120">
        <f t="shared" si="35"/>
        <v>0</v>
      </c>
      <c r="L145" s="120">
        <f t="shared" si="35"/>
        <v>0</v>
      </c>
      <c r="M145" s="120">
        <f t="shared" si="35"/>
        <v>0</v>
      </c>
      <c r="N145" s="120">
        <f t="shared" si="35"/>
        <v>0</v>
      </c>
      <c r="O145" s="120">
        <f t="shared" si="35"/>
        <v>0</v>
      </c>
      <c r="P145" s="120">
        <f t="shared" si="35"/>
        <v>0</v>
      </c>
      <c r="Q145" s="120">
        <f t="shared" si="35"/>
        <v>0</v>
      </c>
      <c r="R145" s="120">
        <f t="shared" si="35"/>
        <v>0</v>
      </c>
      <c r="S145" s="120">
        <f t="shared" si="35"/>
        <v>0</v>
      </c>
      <c r="T145" s="120">
        <f t="shared" si="35"/>
        <v>0</v>
      </c>
      <c r="U145" s="120">
        <f t="shared" si="35"/>
        <v>0</v>
      </c>
      <c r="V145" s="120">
        <f t="shared" si="35"/>
        <v>0</v>
      </c>
      <c r="W145" s="120">
        <f t="shared" si="35"/>
        <v>0</v>
      </c>
      <c r="X145" s="120">
        <f t="shared" si="35"/>
        <v>0</v>
      </c>
      <c r="Y145" s="120">
        <f t="shared" si="35"/>
        <v>0</v>
      </c>
      <c r="Z145" s="120">
        <f t="shared" si="35"/>
        <v>0</v>
      </c>
      <c r="AA145" s="120">
        <f t="shared" si="35"/>
        <v>0</v>
      </c>
      <c r="AB145" s="120">
        <f t="shared" si="35"/>
        <v>0</v>
      </c>
      <c r="AC145" s="120">
        <f t="shared" si="19"/>
        <v>0</v>
      </c>
      <c r="AD145" s="120">
        <f t="shared" si="19"/>
        <v>0</v>
      </c>
      <c r="AE145" s="120">
        <f>SUM(AE146:AE147)</f>
        <v>0</v>
      </c>
      <c r="AF145" s="233">
        <f>H145+AD145+AC145</f>
        <v>-162540</v>
      </c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345">
        <v>-74158</v>
      </c>
    </row>
    <row r="146" spans="1:48" ht="60.75" customHeight="1" hidden="1">
      <c r="A146" s="312">
        <v>4733</v>
      </c>
      <c r="B146" s="344" t="s">
        <v>328</v>
      </c>
      <c r="C146" s="133">
        <v>70276</v>
      </c>
      <c r="D146" s="133"/>
      <c r="E146" s="192"/>
      <c r="F146" s="133"/>
      <c r="G146" s="192"/>
      <c r="H146" s="120">
        <f>C146+F146-D146</f>
        <v>70276</v>
      </c>
      <c r="I146" s="269"/>
      <c r="J146" s="269"/>
      <c r="K146" s="178"/>
      <c r="L146" s="178"/>
      <c r="M146" s="178"/>
      <c r="N146" s="250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33"/>
      <c r="Z146" s="133"/>
      <c r="AA146" s="178"/>
      <c r="AB146" s="178"/>
      <c r="AC146" s="120">
        <f t="shared" si="19"/>
        <v>0</v>
      </c>
      <c r="AD146" s="120">
        <f t="shared" si="19"/>
        <v>0</v>
      </c>
      <c r="AE146" s="133"/>
      <c r="AF146" s="233">
        <f>H146+AD146-AC146</f>
        <v>70276</v>
      </c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345"/>
    </row>
    <row r="147" spans="1:48" ht="59.25" customHeight="1" hidden="1">
      <c r="A147" s="313">
        <v>5733</v>
      </c>
      <c r="B147" s="344" t="s">
        <v>330</v>
      </c>
      <c r="C147" s="133">
        <v>-232816</v>
      </c>
      <c r="D147" s="181"/>
      <c r="E147" s="177"/>
      <c r="F147" s="181"/>
      <c r="G147" s="177"/>
      <c r="H147" s="181">
        <f>C147+D147-F147</f>
        <v>-232816</v>
      </c>
      <c r="I147" s="271"/>
      <c r="J147" s="269"/>
      <c r="K147" s="178"/>
      <c r="L147" s="178"/>
      <c r="M147" s="178"/>
      <c r="N147" s="250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33"/>
      <c r="Z147" s="133"/>
      <c r="AA147" s="178"/>
      <c r="AB147" s="178"/>
      <c r="AC147" s="120">
        <f t="shared" si="19"/>
        <v>0</v>
      </c>
      <c r="AD147" s="120">
        <f t="shared" si="19"/>
        <v>0</v>
      </c>
      <c r="AE147" s="120"/>
      <c r="AF147" s="236">
        <f>H147+AC147-AD147</f>
        <v>-232816</v>
      </c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345"/>
    </row>
    <row r="148" spans="1:48" ht="21.75" customHeight="1">
      <c r="A148" s="316"/>
      <c r="B148" s="350" t="s">
        <v>494</v>
      </c>
      <c r="C148" s="133">
        <f aca="true" t="shared" si="36" ref="C148:H148">SUM(C149:C152)</f>
        <v>96241</v>
      </c>
      <c r="D148" s="133">
        <f t="shared" si="36"/>
        <v>0</v>
      </c>
      <c r="E148" s="238">
        <f t="shared" si="36"/>
        <v>0</v>
      </c>
      <c r="F148" s="133">
        <f t="shared" si="36"/>
        <v>0</v>
      </c>
      <c r="G148" s="238">
        <f t="shared" si="36"/>
        <v>0</v>
      </c>
      <c r="H148" s="133">
        <f t="shared" si="36"/>
        <v>96241</v>
      </c>
      <c r="I148" s="269"/>
      <c r="J148" s="271"/>
      <c r="K148" s="178">
        <f>SUM(K149:K152)</f>
        <v>0</v>
      </c>
      <c r="L148" s="178">
        <f>SUM(L149:L152)</f>
        <v>0</v>
      </c>
      <c r="M148" s="178">
        <f aca="true" t="shared" si="37" ref="M148:AE148">SUM(M149:M152)</f>
        <v>0</v>
      </c>
      <c r="N148" s="178">
        <f t="shared" si="37"/>
        <v>0</v>
      </c>
      <c r="O148" s="178">
        <f t="shared" si="37"/>
        <v>0</v>
      </c>
      <c r="P148" s="178">
        <f t="shared" si="37"/>
        <v>0</v>
      </c>
      <c r="Q148" s="178">
        <f t="shared" si="37"/>
        <v>0</v>
      </c>
      <c r="R148" s="178">
        <f t="shared" si="37"/>
        <v>0</v>
      </c>
      <c r="S148" s="178">
        <f t="shared" si="37"/>
        <v>0</v>
      </c>
      <c r="T148" s="178">
        <f t="shared" si="37"/>
        <v>0</v>
      </c>
      <c r="U148" s="178">
        <f t="shared" si="37"/>
        <v>0</v>
      </c>
      <c r="V148" s="178">
        <f t="shared" si="37"/>
        <v>0</v>
      </c>
      <c r="W148" s="178">
        <f t="shared" si="37"/>
        <v>0</v>
      </c>
      <c r="X148" s="178">
        <f t="shared" si="37"/>
        <v>0</v>
      </c>
      <c r="Y148" s="178">
        <f t="shared" si="37"/>
        <v>0</v>
      </c>
      <c r="Z148" s="178">
        <f t="shared" si="37"/>
        <v>0</v>
      </c>
      <c r="AA148" s="178">
        <f t="shared" si="37"/>
        <v>0</v>
      </c>
      <c r="AB148" s="178">
        <f t="shared" si="37"/>
        <v>0</v>
      </c>
      <c r="AC148" s="120">
        <f t="shared" si="19"/>
        <v>0</v>
      </c>
      <c r="AD148" s="120">
        <f t="shared" si="19"/>
        <v>0</v>
      </c>
      <c r="AE148" s="133">
        <f t="shared" si="37"/>
        <v>0</v>
      </c>
      <c r="AF148" s="133">
        <f>H148+AD148+AC148+AE148</f>
        <v>96241</v>
      </c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345">
        <v>-7579</v>
      </c>
    </row>
    <row r="149" spans="1:48" ht="28.5" customHeight="1" hidden="1">
      <c r="A149" s="312">
        <v>4540</v>
      </c>
      <c r="B149" s="344" t="s">
        <v>327</v>
      </c>
      <c r="C149" s="133">
        <v>58021</v>
      </c>
      <c r="D149" s="120"/>
      <c r="E149" s="177"/>
      <c r="F149" s="120"/>
      <c r="G149" s="177"/>
      <c r="H149" s="120">
        <f>C149+F149-D149</f>
        <v>58021</v>
      </c>
      <c r="I149" s="269"/>
      <c r="J149" s="269"/>
      <c r="K149" s="178"/>
      <c r="L149" s="178"/>
      <c r="M149" s="178"/>
      <c r="N149" s="250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33"/>
      <c r="Z149" s="133"/>
      <c r="AA149" s="178"/>
      <c r="AB149" s="178"/>
      <c r="AC149" s="120">
        <f t="shared" si="19"/>
        <v>0</v>
      </c>
      <c r="AD149" s="120">
        <f t="shared" si="19"/>
        <v>0</v>
      </c>
      <c r="AE149" s="120"/>
      <c r="AF149" s="233">
        <f>H149+AD149-AC149</f>
        <v>58021</v>
      </c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345"/>
    </row>
    <row r="150" spans="1:48" ht="28.5" customHeight="1" hidden="1">
      <c r="A150" s="325">
        <v>5540</v>
      </c>
      <c r="B150" s="344" t="s">
        <v>495</v>
      </c>
      <c r="C150" s="133">
        <v>-29972</v>
      </c>
      <c r="D150" s="181"/>
      <c r="E150" s="177"/>
      <c r="F150" s="181"/>
      <c r="G150" s="177"/>
      <c r="H150" s="181">
        <f>C150+D150-F150</f>
        <v>-29972</v>
      </c>
      <c r="I150" s="269"/>
      <c r="J150" s="269"/>
      <c r="K150" s="178"/>
      <c r="L150" s="178"/>
      <c r="M150" s="178"/>
      <c r="N150" s="250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33"/>
      <c r="Z150" s="133"/>
      <c r="AA150" s="178"/>
      <c r="AB150" s="178"/>
      <c r="AC150" s="120">
        <f t="shared" si="19"/>
        <v>0</v>
      </c>
      <c r="AD150" s="120">
        <f t="shared" si="19"/>
        <v>0</v>
      </c>
      <c r="AE150" s="120"/>
      <c r="AF150" s="236">
        <f>H150+AC150-AD150</f>
        <v>-29972</v>
      </c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345"/>
    </row>
    <row r="151" spans="1:48" ht="28.5" customHeight="1" hidden="1">
      <c r="A151" s="312">
        <v>4732</v>
      </c>
      <c r="B151" s="344" t="s">
        <v>352</v>
      </c>
      <c r="C151" s="133">
        <v>88510</v>
      </c>
      <c r="D151" s="120"/>
      <c r="E151" s="177"/>
      <c r="F151" s="120"/>
      <c r="G151" s="177"/>
      <c r="H151" s="120">
        <f>C151+F151-D151</f>
        <v>88510</v>
      </c>
      <c r="I151" s="269"/>
      <c r="J151" s="269"/>
      <c r="K151" s="178"/>
      <c r="L151" s="178"/>
      <c r="M151" s="178"/>
      <c r="N151" s="250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33"/>
      <c r="Z151" s="133"/>
      <c r="AA151" s="178"/>
      <c r="AB151" s="178"/>
      <c r="AC151" s="120">
        <f t="shared" si="19"/>
        <v>0</v>
      </c>
      <c r="AD151" s="120">
        <f t="shared" si="19"/>
        <v>0</v>
      </c>
      <c r="AE151" s="120"/>
      <c r="AF151" s="233">
        <f>H151+AD151-AC151</f>
        <v>88510</v>
      </c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345"/>
    </row>
    <row r="152" spans="1:48" ht="28.5" customHeight="1" hidden="1">
      <c r="A152" s="313">
        <v>5732</v>
      </c>
      <c r="B152" s="344" t="s">
        <v>360</v>
      </c>
      <c r="C152" s="133">
        <v>-20318</v>
      </c>
      <c r="D152" s="181"/>
      <c r="E152" s="177"/>
      <c r="F152" s="181"/>
      <c r="G152" s="177"/>
      <c r="H152" s="181">
        <f>C152+D152-F152</f>
        <v>-20318</v>
      </c>
      <c r="I152" s="271"/>
      <c r="J152" s="269"/>
      <c r="K152" s="178"/>
      <c r="L152" s="178"/>
      <c r="M152" s="178"/>
      <c r="N152" s="250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33"/>
      <c r="Z152" s="133"/>
      <c r="AA152" s="178"/>
      <c r="AB152" s="178"/>
      <c r="AC152" s="120">
        <f t="shared" si="19"/>
        <v>0</v>
      </c>
      <c r="AD152" s="120">
        <f t="shared" si="19"/>
        <v>0</v>
      </c>
      <c r="AE152" s="120"/>
      <c r="AF152" s="236">
        <f>H152+AC152-AD152</f>
        <v>-20318</v>
      </c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345"/>
    </row>
    <row r="153" spans="1:48" ht="19.5" customHeight="1">
      <c r="A153" s="316"/>
      <c r="B153" s="350" t="s">
        <v>499</v>
      </c>
      <c r="C153" s="133">
        <f>C154+C170</f>
        <v>1857970</v>
      </c>
      <c r="D153" s="133">
        <f>D154+D170</f>
        <v>132877</v>
      </c>
      <c r="E153" s="177"/>
      <c r="F153" s="133">
        <f>F154+F170</f>
        <v>21833</v>
      </c>
      <c r="G153" s="177"/>
      <c r="H153" s="133">
        <f aca="true" t="shared" si="38" ref="H153:AB153">H154+H170</f>
        <v>1748774</v>
      </c>
      <c r="I153" s="178">
        <f>I154+I170</f>
        <v>1783</v>
      </c>
      <c r="J153" s="178">
        <f>J154+J170</f>
        <v>76788</v>
      </c>
      <c r="K153" s="178">
        <f t="shared" si="38"/>
        <v>0</v>
      </c>
      <c r="L153" s="178">
        <f t="shared" si="38"/>
        <v>0</v>
      </c>
      <c r="M153" s="178">
        <f t="shared" si="38"/>
        <v>-56517</v>
      </c>
      <c r="N153" s="178">
        <f t="shared" si="38"/>
        <v>58575</v>
      </c>
      <c r="O153" s="178">
        <f t="shared" si="38"/>
        <v>0</v>
      </c>
      <c r="P153" s="178">
        <f t="shared" si="38"/>
        <v>0</v>
      </c>
      <c r="Q153" s="178">
        <f t="shared" si="38"/>
        <v>-71600</v>
      </c>
      <c r="R153" s="178">
        <f t="shared" si="38"/>
        <v>78175</v>
      </c>
      <c r="S153" s="178">
        <f t="shared" si="38"/>
        <v>0</v>
      </c>
      <c r="T153" s="178">
        <f t="shared" si="38"/>
        <v>0</v>
      </c>
      <c r="U153" s="178">
        <f t="shared" si="38"/>
        <v>0</v>
      </c>
      <c r="V153" s="178">
        <f t="shared" si="38"/>
        <v>95</v>
      </c>
      <c r="W153" s="178">
        <f t="shared" si="38"/>
        <v>0</v>
      </c>
      <c r="X153" s="178">
        <f t="shared" si="38"/>
        <v>0</v>
      </c>
      <c r="Y153" s="178">
        <f t="shared" si="38"/>
        <v>0</v>
      </c>
      <c r="Z153" s="178">
        <f t="shared" si="38"/>
        <v>0</v>
      </c>
      <c r="AA153" s="178">
        <f t="shared" si="38"/>
        <v>0</v>
      </c>
      <c r="AB153" s="178">
        <f t="shared" si="38"/>
        <v>0</v>
      </c>
      <c r="AC153" s="120">
        <f t="shared" si="19"/>
        <v>-126334</v>
      </c>
      <c r="AD153" s="120">
        <f t="shared" si="19"/>
        <v>213633</v>
      </c>
      <c r="AE153" s="133">
        <f>AE154+AE170</f>
        <v>0</v>
      </c>
      <c r="AF153" s="133">
        <f>H153+AD153+AC153+AE153</f>
        <v>1836073</v>
      </c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355">
        <f>AV154+AV170</f>
        <v>1152030</v>
      </c>
    </row>
    <row r="154" spans="1:48" ht="21.75" customHeight="1">
      <c r="A154" s="326"/>
      <c r="B154" s="356" t="s">
        <v>505</v>
      </c>
      <c r="C154" s="195">
        <v>1871610</v>
      </c>
      <c r="D154" s="195">
        <f>SUM(D155:D169)</f>
        <v>0</v>
      </c>
      <c r="E154" s="274"/>
      <c r="F154" s="195">
        <f>SUM(F155:F169)</f>
        <v>21833</v>
      </c>
      <c r="G154" s="274"/>
      <c r="H154" s="195">
        <f aca="true" t="shared" si="39" ref="H154:X154">SUM(H155:H169)</f>
        <v>1801223</v>
      </c>
      <c r="I154" s="199">
        <f t="shared" si="39"/>
        <v>0</v>
      </c>
      <c r="J154" s="199">
        <f t="shared" si="39"/>
        <v>77067</v>
      </c>
      <c r="K154" s="199">
        <f t="shared" si="39"/>
        <v>0</v>
      </c>
      <c r="L154" s="199">
        <f t="shared" si="39"/>
        <v>0</v>
      </c>
      <c r="M154" s="199">
        <f t="shared" si="39"/>
        <v>0</v>
      </c>
      <c r="N154" s="199">
        <f t="shared" si="39"/>
        <v>0</v>
      </c>
      <c r="O154" s="199">
        <f t="shared" si="39"/>
        <v>0</v>
      </c>
      <c r="P154" s="199">
        <f t="shared" si="39"/>
        <v>0</v>
      </c>
      <c r="Q154" s="199">
        <f t="shared" si="39"/>
        <v>-7410</v>
      </c>
      <c r="R154" s="199">
        <f t="shared" si="39"/>
        <v>13006</v>
      </c>
      <c r="S154" s="199">
        <f t="shared" si="39"/>
        <v>0</v>
      </c>
      <c r="T154" s="199">
        <f t="shared" si="39"/>
        <v>0</v>
      </c>
      <c r="U154" s="199">
        <f t="shared" si="39"/>
        <v>0</v>
      </c>
      <c r="V154" s="199">
        <f t="shared" si="39"/>
        <v>0</v>
      </c>
      <c r="W154" s="199">
        <f t="shared" si="39"/>
        <v>0</v>
      </c>
      <c r="X154" s="199">
        <f t="shared" si="39"/>
        <v>0</v>
      </c>
      <c r="Y154" s="199">
        <f>SUM(Y155:Y169)</f>
        <v>0</v>
      </c>
      <c r="Z154" s="199">
        <f>SUM(Z155:Z169)</f>
        <v>0</v>
      </c>
      <c r="AA154" s="199">
        <f>SUM(AA155:AA169)</f>
        <v>0</v>
      </c>
      <c r="AB154" s="199">
        <f>SUM(AB155:AB169)</f>
        <v>0</v>
      </c>
      <c r="AC154" s="196">
        <f t="shared" si="19"/>
        <v>-7410</v>
      </c>
      <c r="AD154" s="196">
        <f t="shared" si="19"/>
        <v>90073</v>
      </c>
      <c r="AE154" s="195">
        <f>SUM(AE155:AE169)</f>
        <v>0</v>
      </c>
      <c r="AF154" s="195">
        <f>H154+AD154+AC154</f>
        <v>1883886</v>
      </c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357">
        <v>1200205</v>
      </c>
    </row>
    <row r="155" spans="1:48" ht="28.5" customHeight="1" hidden="1">
      <c r="A155" s="327">
        <v>4530</v>
      </c>
      <c r="B155" s="358" t="s">
        <v>500</v>
      </c>
      <c r="C155" s="195">
        <v>3472012</v>
      </c>
      <c r="D155" s="196"/>
      <c r="E155" s="197"/>
      <c r="F155" s="196"/>
      <c r="G155" s="197"/>
      <c r="H155" s="196">
        <f>C155+F155-D155</f>
        <v>3472012</v>
      </c>
      <c r="I155" s="276"/>
      <c r="J155" s="277">
        <v>77067</v>
      </c>
      <c r="K155" s="198"/>
      <c r="L155" s="199"/>
      <c r="M155" s="199"/>
      <c r="N155" s="278"/>
      <c r="O155" s="198"/>
      <c r="P155" s="199"/>
      <c r="Q155" s="199"/>
      <c r="R155" s="199"/>
      <c r="S155" s="199"/>
      <c r="T155" s="199"/>
      <c r="U155" s="199"/>
      <c r="V155" s="199"/>
      <c r="W155" s="199"/>
      <c r="X155" s="199"/>
      <c r="Y155" s="195"/>
      <c r="Z155" s="195"/>
      <c r="AA155" s="199"/>
      <c r="AB155" s="199"/>
      <c r="AC155" s="196">
        <f t="shared" si="19"/>
        <v>0</v>
      </c>
      <c r="AD155" s="196">
        <f t="shared" si="19"/>
        <v>77067</v>
      </c>
      <c r="AE155" s="196"/>
      <c r="AF155" s="279">
        <f>H155+AD155-AC155</f>
        <v>3549079</v>
      </c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357"/>
    </row>
    <row r="156" spans="1:48" ht="28.5" customHeight="1" hidden="1">
      <c r="A156" s="325">
        <v>5530</v>
      </c>
      <c r="B156" s="358" t="s">
        <v>501</v>
      </c>
      <c r="C156" s="195">
        <v>-1781732</v>
      </c>
      <c r="D156" s="196"/>
      <c r="E156" s="197"/>
      <c r="F156" s="196"/>
      <c r="G156" s="197"/>
      <c r="H156" s="200">
        <f>C156+D156-F156</f>
        <v>-1781732</v>
      </c>
      <c r="I156" s="276"/>
      <c r="J156" s="276"/>
      <c r="K156" s="199"/>
      <c r="L156" s="199"/>
      <c r="M156" s="199"/>
      <c r="N156" s="278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5"/>
      <c r="Z156" s="195"/>
      <c r="AA156" s="199"/>
      <c r="AB156" s="199"/>
      <c r="AC156" s="196">
        <f t="shared" si="19"/>
        <v>0</v>
      </c>
      <c r="AD156" s="196">
        <f t="shared" si="19"/>
        <v>0</v>
      </c>
      <c r="AE156" s="196"/>
      <c r="AF156" s="280">
        <f>H156+AC156-AD156</f>
        <v>-1781732</v>
      </c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357"/>
    </row>
    <row r="157" spans="1:48" ht="36" customHeight="1" hidden="1">
      <c r="A157" s="312">
        <v>4580</v>
      </c>
      <c r="B157" s="358" t="s">
        <v>78</v>
      </c>
      <c r="C157" s="195"/>
      <c r="D157" s="200"/>
      <c r="E157" s="197"/>
      <c r="F157" s="200"/>
      <c r="G157" s="197"/>
      <c r="H157" s="196">
        <f aca="true" t="shared" si="40" ref="H157:H163">C157+F157-D157</f>
        <v>0</v>
      </c>
      <c r="I157" s="281"/>
      <c r="J157" s="281"/>
      <c r="K157" s="199"/>
      <c r="L157" s="199"/>
      <c r="M157" s="199"/>
      <c r="N157" s="278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5"/>
      <c r="Z157" s="195"/>
      <c r="AA157" s="199"/>
      <c r="AB157" s="199"/>
      <c r="AC157" s="196">
        <f aca="true" t="shared" si="41" ref="AC157:AD220">I157+K157+M157+O157+Q157+S157+U157+W157+Y157+AA157</f>
        <v>0</v>
      </c>
      <c r="AD157" s="196">
        <f t="shared" si="41"/>
        <v>0</v>
      </c>
      <c r="AE157" s="196"/>
      <c r="AF157" s="279">
        <f aca="true" t="shared" si="42" ref="AF157:AF163">H157+AD157-AC157</f>
        <v>0</v>
      </c>
      <c r="AG157" s="275"/>
      <c r="AH157" s="275"/>
      <c r="AI157" s="275"/>
      <c r="AJ157" s="275"/>
      <c r="AK157" s="275"/>
      <c r="AL157" s="275"/>
      <c r="AM157" s="275"/>
      <c r="AN157" s="275"/>
      <c r="AO157" s="275"/>
      <c r="AP157" s="275"/>
      <c r="AQ157" s="275"/>
      <c r="AR157" s="275"/>
      <c r="AS157" s="275"/>
      <c r="AT157" s="275"/>
      <c r="AU157" s="275"/>
      <c r="AV157" s="357"/>
    </row>
    <row r="158" spans="1:48" ht="36" customHeight="1" hidden="1">
      <c r="A158" s="312">
        <v>4593</v>
      </c>
      <c r="B158" s="358" t="s">
        <v>561</v>
      </c>
      <c r="C158" s="195">
        <v>188009</v>
      </c>
      <c r="D158" s="200"/>
      <c r="E158" s="197"/>
      <c r="F158" s="200"/>
      <c r="G158" s="197"/>
      <c r="H158" s="196">
        <f t="shared" si="40"/>
        <v>188009</v>
      </c>
      <c r="I158" s="281"/>
      <c r="J158" s="281"/>
      <c r="K158" s="199"/>
      <c r="L158" s="199"/>
      <c r="M158" s="199"/>
      <c r="N158" s="278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5"/>
      <c r="Z158" s="195"/>
      <c r="AA158" s="199"/>
      <c r="AB158" s="199"/>
      <c r="AC158" s="196">
        <f t="shared" si="41"/>
        <v>0</v>
      </c>
      <c r="AD158" s="196">
        <f t="shared" si="41"/>
        <v>0</v>
      </c>
      <c r="AE158" s="196"/>
      <c r="AF158" s="279">
        <f t="shared" si="42"/>
        <v>188009</v>
      </c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5"/>
      <c r="AU158" s="275"/>
      <c r="AV158" s="357"/>
    </row>
    <row r="159" spans="1:48" ht="28.5" customHeight="1" hidden="1">
      <c r="A159" s="328">
        <v>4892</v>
      </c>
      <c r="B159" s="358" t="s">
        <v>556</v>
      </c>
      <c r="C159" s="195">
        <v>8086</v>
      </c>
      <c r="D159" s="195"/>
      <c r="E159" s="201"/>
      <c r="F159" s="195"/>
      <c r="G159" s="201"/>
      <c r="H159" s="196">
        <f t="shared" si="40"/>
        <v>8086</v>
      </c>
      <c r="I159" s="276"/>
      <c r="J159" s="276"/>
      <c r="K159" s="199"/>
      <c r="L159" s="199"/>
      <c r="M159" s="199"/>
      <c r="N159" s="278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5"/>
      <c r="Z159" s="195"/>
      <c r="AA159" s="199"/>
      <c r="AB159" s="199"/>
      <c r="AC159" s="196">
        <f t="shared" si="41"/>
        <v>0</v>
      </c>
      <c r="AD159" s="196">
        <f t="shared" si="41"/>
        <v>0</v>
      </c>
      <c r="AE159" s="195"/>
      <c r="AF159" s="279">
        <f t="shared" si="42"/>
        <v>8086</v>
      </c>
      <c r="AG159" s="275"/>
      <c r="AH159" s="275"/>
      <c r="AI159" s="275"/>
      <c r="AJ159" s="275"/>
      <c r="AK159" s="275"/>
      <c r="AL159" s="275"/>
      <c r="AM159" s="275"/>
      <c r="AN159" s="275"/>
      <c r="AO159" s="275"/>
      <c r="AP159" s="275"/>
      <c r="AQ159" s="275"/>
      <c r="AR159" s="275"/>
      <c r="AS159" s="275"/>
      <c r="AT159" s="275"/>
      <c r="AU159" s="275"/>
      <c r="AV159" s="357"/>
    </row>
    <row r="160" spans="1:48" ht="28.5" customHeight="1" hidden="1">
      <c r="A160" s="312">
        <v>4893</v>
      </c>
      <c r="B160" s="358" t="s">
        <v>362</v>
      </c>
      <c r="C160" s="195">
        <v>26985</v>
      </c>
      <c r="D160" s="196"/>
      <c r="E160" s="197"/>
      <c r="F160" s="196"/>
      <c r="G160" s="197"/>
      <c r="H160" s="196">
        <f t="shared" si="40"/>
        <v>26985</v>
      </c>
      <c r="I160" s="276"/>
      <c r="J160" s="276"/>
      <c r="K160" s="199"/>
      <c r="L160" s="199"/>
      <c r="M160" s="199"/>
      <c r="N160" s="278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5"/>
      <c r="Z160" s="195"/>
      <c r="AA160" s="199"/>
      <c r="AB160" s="199"/>
      <c r="AC160" s="196">
        <f t="shared" si="41"/>
        <v>0</v>
      </c>
      <c r="AD160" s="196">
        <f t="shared" si="41"/>
        <v>0</v>
      </c>
      <c r="AE160" s="196"/>
      <c r="AF160" s="279">
        <f t="shared" si="42"/>
        <v>26985</v>
      </c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357"/>
    </row>
    <row r="161" spans="1:48" ht="28.5" customHeight="1" hidden="1">
      <c r="A161" s="312">
        <v>4894</v>
      </c>
      <c r="B161" s="358" t="s">
        <v>549</v>
      </c>
      <c r="C161" s="195">
        <v>118644</v>
      </c>
      <c r="D161" s="196"/>
      <c r="E161" s="197"/>
      <c r="F161" s="196"/>
      <c r="G161" s="197"/>
      <c r="H161" s="196">
        <f t="shared" si="40"/>
        <v>118644</v>
      </c>
      <c r="I161" s="276"/>
      <c r="J161" s="276"/>
      <c r="K161" s="199"/>
      <c r="L161" s="199"/>
      <c r="M161" s="199"/>
      <c r="N161" s="278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5"/>
      <c r="Z161" s="195"/>
      <c r="AA161" s="199"/>
      <c r="AB161" s="199"/>
      <c r="AC161" s="196">
        <f t="shared" si="41"/>
        <v>0</v>
      </c>
      <c r="AD161" s="196">
        <f t="shared" si="41"/>
        <v>0</v>
      </c>
      <c r="AE161" s="196"/>
      <c r="AF161" s="279">
        <f t="shared" si="42"/>
        <v>118644</v>
      </c>
      <c r="AG161" s="275"/>
      <c r="AH161" s="275"/>
      <c r="AI161" s="275"/>
      <c r="AJ161" s="275"/>
      <c r="AK161" s="275"/>
      <c r="AL161" s="275"/>
      <c r="AM161" s="275"/>
      <c r="AN161" s="275"/>
      <c r="AO161" s="275"/>
      <c r="AP161" s="275"/>
      <c r="AQ161" s="275"/>
      <c r="AR161" s="275"/>
      <c r="AS161" s="275"/>
      <c r="AT161" s="275"/>
      <c r="AU161" s="275"/>
      <c r="AV161" s="357"/>
    </row>
    <row r="162" spans="1:48" ht="28.5" customHeight="1" hidden="1">
      <c r="A162" s="312">
        <v>4895</v>
      </c>
      <c r="B162" s="358" t="s">
        <v>548</v>
      </c>
      <c r="C162" s="195">
        <v>396917</v>
      </c>
      <c r="D162" s="196"/>
      <c r="E162" s="197"/>
      <c r="F162" s="196">
        <v>21833</v>
      </c>
      <c r="G162" s="197" t="s">
        <v>317</v>
      </c>
      <c r="H162" s="196">
        <f t="shared" si="40"/>
        <v>418750</v>
      </c>
      <c r="I162" s="276"/>
      <c r="J162" s="276"/>
      <c r="K162" s="199"/>
      <c r="L162" s="199"/>
      <c r="M162" s="199"/>
      <c r="N162" s="278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5"/>
      <c r="Z162" s="195"/>
      <c r="AA162" s="199"/>
      <c r="AB162" s="199"/>
      <c r="AC162" s="196">
        <f t="shared" si="41"/>
        <v>0</v>
      </c>
      <c r="AD162" s="196">
        <f t="shared" si="41"/>
        <v>0</v>
      </c>
      <c r="AE162" s="196"/>
      <c r="AF162" s="279">
        <f t="shared" si="42"/>
        <v>418750</v>
      </c>
      <c r="AG162" s="275"/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  <c r="AR162" s="275"/>
      <c r="AS162" s="275"/>
      <c r="AT162" s="275"/>
      <c r="AU162" s="275"/>
      <c r="AV162" s="357"/>
    </row>
    <row r="163" spans="1:48" s="168" customFormat="1" ht="28.5" customHeight="1" hidden="1">
      <c r="A163" s="313">
        <v>5593</v>
      </c>
      <c r="B163" s="358" t="s">
        <v>381</v>
      </c>
      <c r="C163" s="195">
        <v>-31193</v>
      </c>
      <c r="D163" s="200"/>
      <c r="E163" s="197"/>
      <c r="F163" s="200"/>
      <c r="G163" s="197"/>
      <c r="H163" s="200">
        <f t="shared" si="40"/>
        <v>-31193</v>
      </c>
      <c r="I163" s="282"/>
      <c r="J163" s="282"/>
      <c r="K163" s="200"/>
      <c r="L163" s="200"/>
      <c r="M163" s="200"/>
      <c r="N163" s="283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195"/>
      <c r="Z163" s="195"/>
      <c r="AA163" s="200"/>
      <c r="AB163" s="200"/>
      <c r="AC163" s="196">
        <f t="shared" si="41"/>
        <v>0</v>
      </c>
      <c r="AD163" s="196">
        <f t="shared" si="41"/>
        <v>0</v>
      </c>
      <c r="AE163" s="200"/>
      <c r="AF163" s="280">
        <f t="shared" si="42"/>
        <v>-31193</v>
      </c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359"/>
    </row>
    <row r="164" spans="1:48" ht="28.5" customHeight="1" hidden="1">
      <c r="A164" s="313">
        <v>5892</v>
      </c>
      <c r="B164" s="358" t="s">
        <v>568</v>
      </c>
      <c r="C164" s="195">
        <v>-177</v>
      </c>
      <c r="D164" s="200"/>
      <c r="E164" s="197"/>
      <c r="F164" s="200"/>
      <c r="G164" s="197"/>
      <c r="H164" s="200">
        <f>C164+D164-F164</f>
        <v>-177</v>
      </c>
      <c r="I164" s="276"/>
      <c r="J164" s="276"/>
      <c r="K164" s="199"/>
      <c r="L164" s="199"/>
      <c r="M164" s="199"/>
      <c r="N164" s="278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5"/>
      <c r="Z164" s="195"/>
      <c r="AA164" s="199"/>
      <c r="AB164" s="199"/>
      <c r="AC164" s="196">
        <f t="shared" si="41"/>
        <v>0</v>
      </c>
      <c r="AD164" s="196">
        <f t="shared" si="41"/>
        <v>0</v>
      </c>
      <c r="AE164" s="200"/>
      <c r="AF164" s="280">
        <f>H164+AC164-AD164</f>
        <v>-177</v>
      </c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357"/>
    </row>
    <row r="165" spans="1:48" ht="28.5" customHeight="1" hidden="1">
      <c r="A165" s="313">
        <v>5893</v>
      </c>
      <c r="B165" s="358" t="s">
        <v>432</v>
      </c>
      <c r="C165" s="195">
        <v>-23106</v>
      </c>
      <c r="D165" s="200"/>
      <c r="E165" s="197"/>
      <c r="F165" s="200"/>
      <c r="G165" s="197"/>
      <c r="H165" s="200">
        <f>C165+D165-F165</f>
        <v>-23106</v>
      </c>
      <c r="I165" s="276"/>
      <c r="J165" s="276"/>
      <c r="K165" s="199"/>
      <c r="L165" s="199"/>
      <c r="M165" s="199"/>
      <c r="N165" s="278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5"/>
      <c r="Z165" s="195"/>
      <c r="AA165" s="199"/>
      <c r="AB165" s="199"/>
      <c r="AC165" s="196">
        <f t="shared" si="41"/>
        <v>0</v>
      </c>
      <c r="AD165" s="196">
        <f t="shared" si="41"/>
        <v>0</v>
      </c>
      <c r="AE165" s="196"/>
      <c r="AF165" s="280">
        <f>H165+AC165-AD165</f>
        <v>-23106</v>
      </c>
      <c r="AG165" s="275"/>
      <c r="AH165" s="275"/>
      <c r="AI165" s="275"/>
      <c r="AJ165" s="275"/>
      <c r="AK165" s="275"/>
      <c r="AL165" s="275"/>
      <c r="AM165" s="275"/>
      <c r="AN165" s="275"/>
      <c r="AO165" s="275"/>
      <c r="AP165" s="275"/>
      <c r="AQ165" s="275"/>
      <c r="AR165" s="275"/>
      <c r="AS165" s="275"/>
      <c r="AT165" s="275"/>
      <c r="AU165" s="275"/>
      <c r="AV165" s="357"/>
    </row>
    <row r="166" spans="1:48" ht="28.5" customHeight="1" hidden="1">
      <c r="A166" s="313">
        <v>5894</v>
      </c>
      <c r="B166" s="358" t="s">
        <v>550</v>
      </c>
      <c r="C166" s="195">
        <v>-167129</v>
      </c>
      <c r="D166" s="200"/>
      <c r="E166" s="197"/>
      <c r="F166" s="200"/>
      <c r="G166" s="197"/>
      <c r="H166" s="200">
        <f>C166+D166-F166</f>
        <v>-167129</v>
      </c>
      <c r="I166" s="276"/>
      <c r="J166" s="276"/>
      <c r="K166" s="199"/>
      <c r="L166" s="199"/>
      <c r="M166" s="199"/>
      <c r="N166" s="278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5"/>
      <c r="Z166" s="195"/>
      <c r="AA166" s="199"/>
      <c r="AB166" s="199"/>
      <c r="AC166" s="196">
        <f t="shared" si="41"/>
        <v>0</v>
      </c>
      <c r="AD166" s="196">
        <f t="shared" si="41"/>
        <v>0</v>
      </c>
      <c r="AE166" s="196"/>
      <c r="AF166" s="280">
        <f>H166+AC166-AD166</f>
        <v>-167129</v>
      </c>
      <c r="AG166" s="275"/>
      <c r="AH166" s="275"/>
      <c r="AI166" s="275"/>
      <c r="AJ166" s="275"/>
      <c r="AK166" s="275"/>
      <c r="AL166" s="275"/>
      <c r="AM166" s="275"/>
      <c r="AN166" s="275"/>
      <c r="AO166" s="275"/>
      <c r="AP166" s="275"/>
      <c r="AQ166" s="275"/>
      <c r="AR166" s="275"/>
      <c r="AS166" s="275"/>
      <c r="AT166" s="275"/>
      <c r="AU166" s="275"/>
      <c r="AV166" s="357"/>
    </row>
    <row r="167" spans="1:48" ht="28.5" customHeight="1" hidden="1">
      <c r="A167" s="313">
        <v>5895</v>
      </c>
      <c r="B167" s="358" t="s">
        <v>392</v>
      </c>
      <c r="C167" s="195">
        <v>-427926</v>
      </c>
      <c r="D167" s="200"/>
      <c r="E167" s="197"/>
      <c r="F167" s="200"/>
      <c r="G167" s="197"/>
      <c r="H167" s="200">
        <f>C167+D167-F167</f>
        <v>-427926</v>
      </c>
      <c r="I167" s="276"/>
      <c r="J167" s="276"/>
      <c r="K167" s="199"/>
      <c r="L167" s="199"/>
      <c r="M167" s="199"/>
      <c r="N167" s="278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5"/>
      <c r="Z167" s="195"/>
      <c r="AA167" s="199"/>
      <c r="AB167" s="199"/>
      <c r="AC167" s="196">
        <f t="shared" si="41"/>
        <v>0</v>
      </c>
      <c r="AD167" s="196">
        <f t="shared" si="41"/>
        <v>0</v>
      </c>
      <c r="AE167" s="196"/>
      <c r="AF167" s="280">
        <f>H167+AC167-AD167</f>
        <v>-427926</v>
      </c>
      <c r="AG167" s="275"/>
      <c r="AH167" s="275"/>
      <c r="AI167" s="275"/>
      <c r="AJ167" s="275"/>
      <c r="AK167" s="275"/>
      <c r="AL167" s="275"/>
      <c r="AM167" s="275"/>
      <c r="AN167" s="275"/>
      <c r="AO167" s="275"/>
      <c r="AP167" s="275"/>
      <c r="AQ167" s="275"/>
      <c r="AR167" s="275"/>
      <c r="AS167" s="275"/>
      <c r="AT167" s="275"/>
      <c r="AU167" s="275"/>
      <c r="AV167" s="357"/>
    </row>
    <row r="168" spans="1:48" ht="28.5" customHeight="1" hidden="1">
      <c r="A168" s="321">
        <v>4731</v>
      </c>
      <c r="B168" s="358" t="s">
        <v>538</v>
      </c>
      <c r="C168" s="195"/>
      <c r="D168" s="195"/>
      <c r="E168" s="201"/>
      <c r="F168" s="195"/>
      <c r="G168" s="201"/>
      <c r="H168" s="196">
        <f>C168+F168-D168</f>
        <v>0</v>
      </c>
      <c r="I168" s="276"/>
      <c r="J168" s="276"/>
      <c r="K168" s="199"/>
      <c r="L168" s="199"/>
      <c r="M168" s="199"/>
      <c r="N168" s="278"/>
      <c r="O168" s="199"/>
      <c r="P168" s="199"/>
      <c r="Q168" s="199"/>
      <c r="R168" s="199">
        <v>13006</v>
      </c>
      <c r="S168" s="199"/>
      <c r="T168" s="199"/>
      <c r="U168" s="199"/>
      <c r="V168" s="199"/>
      <c r="W168" s="199"/>
      <c r="X168" s="199"/>
      <c r="Y168" s="195"/>
      <c r="Z168" s="195"/>
      <c r="AA168" s="199"/>
      <c r="AB168" s="199"/>
      <c r="AC168" s="196">
        <f t="shared" si="41"/>
        <v>0</v>
      </c>
      <c r="AD168" s="196">
        <f t="shared" si="41"/>
        <v>13006</v>
      </c>
      <c r="AE168" s="195"/>
      <c r="AF168" s="279">
        <f>H168+AD168-AC168</f>
        <v>13006</v>
      </c>
      <c r="AG168" s="275"/>
      <c r="AH168" s="275"/>
      <c r="AI168" s="275"/>
      <c r="AJ168" s="275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357"/>
    </row>
    <row r="169" spans="1:48" ht="28.5" customHeight="1" hidden="1">
      <c r="A169" s="313">
        <v>5731</v>
      </c>
      <c r="B169" s="358" t="s">
        <v>539</v>
      </c>
      <c r="C169" s="195"/>
      <c r="D169" s="200"/>
      <c r="E169" s="197"/>
      <c r="F169" s="200"/>
      <c r="G169" s="197"/>
      <c r="H169" s="200">
        <f>C169+D169-F169</f>
        <v>0</v>
      </c>
      <c r="I169" s="277"/>
      <c r="J169" s="276"/>
      <c r="K169" s="199"/>
      <c r="L169" s="199"/>
      <c r="M169" s="199"/>
      <c r="N169" s="278"/>
      <c r="O169" s="199"/>
      <c r="P169" s="199"/>
      <c r="Q169" s="199">
        <v>-7410</v>
      </c>
      <c r="R169" s="199"/>
      <c r="S169" s="199"/>
      <c r="T169" s="199"/>
      <c r="U169" s="199"/>
      <c r="V169" s="199"/>
      <c r="W169" s="199"/>
      <c r="X169" s="199"/>
      <c r="Y169" s="195"/>
      <c r="Z169" s="195"/>
      <c r="AA169" s="199"/>
      <c r="AB169" s="199"/>
      <c r="AC169" s="196">
        <f t="shared" si="41"/>
        <v>-7410</v>
      </c>
      <c r="AD169" s="196">
        <f t="shared" si="41"/>
        <v>0</v>
      </c>
      <c r="AE169" s="200"/>
      <c r="AF169" s="280">
        <f>H169+AC169-AD169</f>
        <v>-7410</v>
      </c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5"/>
      <c r="AU169" s="275"/>
      <c r="AV169" s="357"/>
    </row>
    <row r="170" spans="1:48" ht="22.5" customHeight="1">
      <c r="A170" s="329"/>
      <c r="B170" s="356" t="s">
        <v>506</v>
      </c>
      <c r="C170" s="195">
        <v>-13640</v>
      </c>
      <c r="D170" s="195">
        <f>SUM(D171:D181)</f>
        <v>132877</v>
      </c>
      <c r="E170" s="274"/>
      <c r="F170" s="195">
        <f>SUM(F171:F181)</f>
        <v>0</v>
      </c>
      <c r="G170" s="274"/>
      <c r="H170" s="195">
        <f>SUM(H171:H181)</f>
        <v>-52449</v>
      </c>
      <c r="I170" s="199">
        <f>SUM(I171:I181)</f>
        <v>1783</v>
      </c>
      <c r="J170" s="199">
        <f>SUM(J171:J181)</f>
        <v>-279</v>
      </c>
      <c r="K170" s="199">
        <f>SUM(K171:K181)</f>
        <v>0</v>
      </c>
      <c r="L170" s="199">
        <f>SUM(L171:L181)</f>
        <v>0</v>
      </c>
      <c r="M170" s="199">
        <f aca="true" t="shared" si="43" ref="M170:AE170">SUM(M171:M181)</f>
        <v>-56517</v>
      </c>
      <c r="N170" s="199">
        <f t="shared" si="43"/>
        <v>58575</v>
      </c>
      <c r="O170" s="199">
        <f t="shared" si="43"/>
        <v>0</v>
      </c>
      <c r="P170" s="199">
        <f t="shared" si="43"/>
        <v>0</v>
      </c>
      <c r="Q170" s="199">
        <f t="shared" si="43"/>
        <v>-64190</v>
      </c>
      <c r="R170" s="199">
        <f t="shared" si="43"/>
        <v>65169</v>
      </c>
      <c r="S170" s="199">
        <f t="shared" si="43"/>
        <v>0</v>
      </c>
      <c r="T170" s="199">
        <f t="shared" si="43"/>
        <v>0</v>
      </c>
      <c r="U170" s="199">
        <f t="shared" si="43"/>
        <v>0</v>
      </c>
      <c r="V170" s="199">
        <f t="shared" si="43"/>
        <v>95</v>
      </c>
      <c r="W170" s="199">
        <f t="shared" si="43"/>
        <v>0</v>
      </c>
      <c r="X170" s="199">
        <f t="shared" si="43"/>
        <v>0</v>
      </c>
      <c r="Y170" s="199">
        <f t="shared" si="43"/>
        <v>0</v>
      </c>
      <c r="Z170" s="199">
        <f t="shared" si="43"/>
        <v>0</v>
      </c>
      <c r="AA170" s="199">
        <f t="shared" si="43"/>
        <v>0</v>
      </c>
      <c r="AB170" s="199">
        <f t="shared" si="43"/>
        <v>0</v>
      </c>
      <c r="AC170" s="196">
        <f t="shared" si="41"/>
        <v>-118924</v>
      </c>
      <c r="AD170" s="196">
        <f t="shared" si="41"/>
        <v>123560</v>
      </c>
      <c r="AE170" s="195">
        <f t="shared" si="43"/>
        <v>0</v>
      </c>
      <c r="AF170" s="195">
        <f>H170+AD170+AC170+AE170</f>
        <v>-47813</v>
      </c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357">
        <v>-48175</v>
      </c>
    </row>
    <row r="171" spans="1:48" ht="28.5" customHeight="1" hidden="1">
      <c r="A171" s="313">
        <v>5703</v>
      </c>
      <c r="B171" s="348" t="s">
        <v>354</v>
      </c>
      <c r="C171" s="8"/>
      <c r="D171" s="4"/>
      <c r="E171" s="68"/>
      <c r="F171" s="4"/>
      <c r="G171" s="68"/>
      <c r="H171" s="4">
        <f>C171+D171-F171</f>
        <v>0</v>
      </c>
      <c r="I171" s="240">
        <v>1796</v>
      </c>
      <c r="J171" s="240"/>
      <c r="K171" s="15"/>
      <c r="L171" s="15"/>
      <c r="M171" s="15">
        <f>-992-55525</f>
        <v>-56517</v>
      </c>
      <c r="N171" s="244"/>
      <c r="O171" s="15"/>
      <c r="P171" s="15"/>
      <c r="Q171" s="15">
        <v>-64190</v>
      </c>
      <c r="R171" s="15"/>
      <c r="S171" s="15"/>
      <c r="T171" s="15"/>
      <c r="U171" s="15"/>
      <c r="V171" s="15"/>
      <c r="W171" s="15"/>
      <c r="X171" s="15"/>
      <c r="Y171" s="8"/>
      <c r="Z171" s="8"/>
      <c r="AA171" s="15"/>
      <c r="AB171" s="15"/>
      <c r="AC171" s="3">
        <f t="shared" si="41"/>
        <v>-118911</v>
      </c>
      <c r="AD171" s="3">
        <f t="shared" si="41"/>
        <v>0</v>
      </c>
      <c r="AE171" s="3"/>
      <c r="AF171" s="258">
        <f>H171+AC171-AD171</f>
        <v>-118911</v>
      </c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349"/>
    </row>
    <row r="172" spans="1:48" ht="39" customHeight="1" hidden="1">
      <c r="A172" s="313">
        <v>5570</v>
      </c>
      <c r="B172" s="348" t="s">
        <v>562</v>
      </c>
      <c r="C172" s="8"/>
      <c r="D172" s="4"/>
      <c r="E172" s="68"/>
      <c r="F172" s="4"/>
      <c r="G172" s="68"/>
      <c r="H172" s="4">
        <f>C172+D172-F172</f>
        <v>0</v>
      </c>
      <c r="I172" s="240"/>
      <c r="J172" s="240"/>
      <c r="K172" s="15"/>
      <c r="L172" s="15"/>
      <c r="M172" s="15"/>
      <c r="N172" s="244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8"/>
      <c r="Z172" s="8"/>
      <c r="AA172" s="15"/>
      <c r="AB172" s="15"/>
      <c r="AC172" s="3">
        <f t="shared" si="41"/>
        <v>0</v>
      </c>
      <c r="AD172" s="3">
        <f t="shared" si="41"/>
        <v>0</v>
      </c>
      <c r="AE172" s="3"/>
      <c r="AF172" s="258">
        <f>H172+AC172-AD172</f>
        <v>0</v>
      </c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349"/>
    </row>
    <row r="173" spans="1:48" ht="28.5" customHeight="1" hidden="1">
      <c r="A173" s="312">
        <v>4710</v>
      </c>
      <c r="B173" s="348" t="s">
        <v>350</v>
      </c>
      <c r="C173" s="8">
        <v>503927</v>
      </c>
      <c r="D173" s="3">
        <f>118133+14744</f>
        <v>132877</v>
      </c>
      <c r="E173" s="68"/>
      <c r="F173" s="3"/>
      <c r="G173" s="68"/>
      <c r="H173" s="3">
        <f>C173+F173-D173</f>
        <v>371050</v>
      </c>
      <c r="I173" s="240"/>
      <c r="J173" s="240"/>
      <c r="K173" s="15"/>
      <c r="L173" s="15"/>
      <c r="M173" s="15"/>
      <c r="N173" s="244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8"/>
      <c r="Z173" s="8"/>
      <c r="AA173" s="15"/>
      <c r="AB173" s="15"/>
      <c r="AC173" s="3">
        <f t="shared" si="41"/>
        <v>0</v>
      </c>
      <c r="AD173" s="3">
        <f t="shared" si="41"/>
        <v>0</v>
      </c>
      <c r="AE173" s="3"/>
      <c r="AF173" s="243">
        <f>H173+AD173-AC173</f>
        <v>371050</v>
      </c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349"/>
    </row>
    <row r="174" spans="1:48" ht="28.5" customHeight="1" hidden="1">
      <c r="A174" s="312">
        <v>4734</v>
      </c>
      <c r="B174" s="348" t="s">
        <v>353</v>
      </c>
      <c r="C174" s="8"/>
      <c r="D174" s="3"/>
      <c r="E174" s="68"/>
      <c r="F174" s="3"/>
      <c r="G174" s="68"/>
      <c r="H174" s="3">
        <f>C174+F174-D174</f>
        <v>0</v>
      </c>
      <c r="I174" s="240"/>
      <c r="J174" s="240"/>
      <c r="K174" s="15"/>
      <c r="L174" s="15"/>
      <c r="M174" s="15"/>
      <c r="N174" s="244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8"/>
      <c r="Z174" s="8"/>
      <c r="AA174" s="15"/>
      <c r="AB174" s="15"/>
      <c r="AC174" s="3">
        <f t="shared" si="41"/>
        <v>0</v>
      </c>
      <c r="AD174" s="3">
        <f t="shared" si="41"/>
        <v>0</v>
      </c>
      <c r="AE174" s="3"/>
      <c r="AF174" s="243">
        <f>H174+AD174-AC174</f>
        <v>0</v>
      </c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349"/>
    </row>
    <row r="175" spans="1:48" ht="28.5" customHeight="1" hidden="1">
      <c r="A175" s="313">
        <v>5710</v>
      </c>
      <c r="B175" s="348" t="s">
        <v>357</v>
      </c>
      <c r="C175" s="8">
        <v>-517567</v>
      </c>
      <c r="D175" s="4"/>
      <c r="E175" s="68"/>
      <c r="F175" s="4"/>
      <c r="G175" s="68"/>
      <c r="H175" s="4">
        <f>C175+D175-F175</f>
        <v>-517567</v>
      </c>
      <c r="I175" s="240">
        <v>-13</v>
      </c>
      <c r="J175" s="240"/>
      <c r="K175" s="15"/>
      <c r="L175" s="38"/>
      <c r="M175" s="15"/>
      <c r="N175" s="244"/>
      <c r="O175" s="15"/>
      <c r="P175" s="38"/>
      <c r="Q175" s="38"/>
      <c r="R175" s="38"/>
      <c r="S175" s="38"/>
      <c r="T175" s="38"/>
      <c r="U175" s="38"/>
      <c r="V175" s="38"/>
      <c r="W175" s="38"/>
      <c r="X175" s="38"/>
      <c r="Y175" s="8"/>
      <c r="Z175" s="8"/>
      <c r="AA175" s="38"/>
      <c r="AB175" s="38"/>
      <c r="AC175" s="3">
        <f t="shared" si="41"/>
        <v>-13</v>
      </c>
      <c r="AD175" s="3">
        <f t="shared" si="41"/>
        <v>0</v>
      </c>
      <c r="AE175" s="3"/>
      <c r="AF175" s="258">
        <f>H175+AC175-AD175</f>
        <v>-517580</v>
      </c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349"/>
    </row>
    <row r="176" spans="1:48" ht="28.5" customHeight="1" hidden="1">
      <c r="A176" s="313">
        <v>5704</v>
      </c>
      <c r="B176" s="348" t="s">
        <v>355</v>
      </c>
      <c r="C176" s="8"/>
      <c r="D176" s="4"/>
      <c r="E176" s="68"/>
      <c r="F176" s="4"/>
      <c r="G176" s="68"/>
      <c r="H176" s="4">
        <f>C176+D176-F176</f>
        <v>0</v>
      </c>
      <c r="I176" s="240"/>
      <c r="J176" s="240"/>
      <c r="K176" s="15"/>
      <c r="L176" s="15"/>
      <c r="M176" s="15"/>
      <c r="N176" s="244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8"/>
      <c r="Z176" s="8"/>
      <c r="AA176" s="15"/>
      <c r="AB176" s="15"/>
      <c r="AC176" s="3">
        <f t="shared" si="41"/>
        <v>0</v>
      </c>
      <c r="AD176" s="3">
        <f t="shared" si="41"/>
        <v>0</v>
      </c>
      <c r="AE176" s="3"/>
      <c r="AF176" s="258">
        <f>H176+AC176-AD176</f>
        <v>0</v>
      </c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349"/>
    </row>
    <row r="177" spans="1:48" ht="28.5" customHeight="1" hidden="1">
      <c r="A177" s="313">
        <v>5734</v>
      </c>
      <c r="B177" s="348" t="s">
        <v>361</v>
      </c>
      <c r="C177" s="8"/>
      <c r="D177" s="4"/>
      <c r="E177" s="68"/>
      <c r="F177" s="4"/>
      <c r="G177" s="68"/>
      <c r="H177" s="4">
        <f>C177+D177-F177</f>
        <v>0</v>
      </c>
      <c r="I177" s="241"/>
      <c r="J177" s="240"/>
      <c r="K177" s="15"/>
      <c r="L177" s="15"/>
      <c r="M177" s="15"/>
      <c r="N177" s="244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8"/>
      <c r="Z177" s="8"/>
      <c r="AA177" s="15"/>
      <c r="AB177" s="15"/>
      <c r="AC177" s="3">
        <f t="shared" si="41"/>
        <v>0</v>
      </c>
      <c r="AD177" s="3">
        <f t="shared" si="41"/>
        <v>0</v>
      </c>
      <c r="AE177" s="3"/>
      <c r="AF177" s="258">
        <f>H177+AC177-AD177</f>
        <v>0</v>
      </c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349"/>
    </row>
    <row r="178" spans="1:48" ht="28.5" customHeight="1" hidden="1">
      <c r="A178" s="321">
        <v>4703</v>
      </c>
      <c r="B178" s="348" t="s">
        <v>531</v>
      </c>
      <c r="C178" s="8">
        <v>94068</v>
      </c>
      <c r="D178" s="8"/>
      <c r="E178" s="75"/>
      <c r="F178" s="8"/>
      <c r="G178" s="75"/>
      <c r="H178" s="3">
        <f>C178+F178-D178</f>
        <v>94068</v>
      </c>
      <c r="I178" s="240"/>
      <c r="J178" s="241">
        <v>-279</v>
      </c>
      <c r="K178" s="15"/>
      <c r="L178" s="15"/>
      <c r="M178" s="15"/>
      <c r="N178" s="15">
        <f>58536+39</f>
        <v>58575</v>
      </c>
      <c r="O178" s="15"/>
      <c r="P178" s="15"/>
      <c r="Q178" s="15"/>
      <c r="R178" s="15">
        <v>65169</v>
      </c>
      <c r="S178" s="15"/>
      <c r="T178" s="15"/>
      <c r="U178" s="15"/>
      <c r="V178" s="15">
        <v>95</v>
      </c>
      <c r="W178" s="15"/>
      <c r="X178" s="15"/>
      <c r="Y178" s="8"/>
      <c r="Z178" s="8"/>
      <c r="AA178" s="15"/>
      <c r="AB178" s="15"/>
      <c r="AC178" s="3">
        <f t="shared" si="41"/>
        <v>0</v>
      </c>
      <c r="AD178" s="3">
        <f t="shared" si="41"/>
        <v>123560</v>
      </c>
      <c r="AE178" s="8"/>
      <c r="AF178" s="243">
        <f>H178+AD178-AC178</f>
        <v>217628</v>
      </c>
      <c r="AG178" s="169"/>
      <c r="AH178" s="169"/>
      <c r="AI178" s="169"/>
      <c r="AJ178" s="169"/>
      <c r="AK178" s="169"/>
      <c r="AL178" s="169"/>
      <c r="AM178" s="169"/>
      <c r="AN178" s="169"/>
      <c r="AO178" s="170"/>
      <c r="AP178" s="170"/>
      <c r="AQ178" s="170"/>
      <c r="AR178" s="170"/>
      <c r="AS178" s="170"/>
      <c r="AT178" s="170"/>
      <c r="AU178" s="170"/>
      <c r="AV178" s="349"/>
    </row>
    <row r="179" spans="1:48" ht="28.5" customHeight="1" hidden="1">
      <c r="A179" s="321">
        <v>4704</v>
      </c>
      <c r="B179" s="348" t="s">
        <v>532</v>
      </c>
      <c r="C179" s="8"/>
      <c r="D179" s="4"/>
      <c r="E179" s="68"/>
      <c r="F179" s="4"/>
      <c r="G179" s="68"/>
      <c r="H179" s="3">
        <f>C179+F179-D179</f>
        <v>0</v>
      </c>
      <c r="I179" s="240"/>
      <c r="J179" s="240"/>
      <c r="K179" s="15"/>
      <c r="L179" s="15"/>
      <c r="M179" s="15"/>
      <c r="N179" s="244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8"/>
      <c r="Z179" s="8"/>
      <c r="AA179" s="15"/>
      <c r="AB179" s="15"/>
      <c r="AC179" s="3">
        <f t="shared" si="41"/>
        <v>0</v>
      </c>
      <c r="AD179" s="3">
        <f t="shared" si="41"/>
        <v>0</v>
      </c>
      <c r="AE179" s="3"/>
      <c r="AF179" s="243">
        <f>H179+AD179-AC179</f>
        <v>0</v>
      </c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349"/>
    </row>
    <row r="180" spans="1:48" ht="28.5" customHeight="1" hidden="1">
      <c r="A180" s="312">
        <v>4705</v>
      </c>
      <c r="B180" s="348" t="s">
        <v>349</v>
      </c>
      <c r="C180" s="8"/>
      <c r="D180" s="3"/>
      <c r="E180" s="68"/>
      <c r="F180" s="3"/>
      <c r="G180" s="68"/>
      <c r="H180" s="3">
        <f>C180+F180-D180</f>
        <v>0</v>
      </c>
      <c r="I180" s="240"/>
      <c r="J180" s="240"/>
      <c r="K180" s="15"/>
      <c r="L180" s="15"/>
      <c r="M180" s="15"/>
      <c r="N180" s="244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8"/>
      <c r="Z180" s="8"/>
      <c r="AA180" s="15"/>
      <c r="AB180" s="15"/>
      <c r="AC180" s="3">
        <f t="shared" si="41"/>
        <v>0</v>
      </c>
      <c r="AD180" s="3">
        <f t="shared" si="41"/>
        <v>0</v>
      </c>
      <c r="AE180" s="3"/>
      <c r="AF180" s="243">
        <f>H180+AD180-AC180</f>
        <v>0</v>
      </c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349"/>
    </row>
    <row r="181" spans="1:48" ht="28.5" customHeight="1" hidden="1">
      <c r="A181" s="313">
        <v>5705</v>
      </c>
      <c r="B181" s="348" t="s">
        <v>356</v>
      </c>
      <c r="C181" s="8"/>
      <c r="D181" s="4"/>
      <c r="E181" s="68"/>
      <c r="F181" s="4"/>
      <c r="G181" s="68"/>
      <c r="H181" s="4">
        <f>C181+D181-F181</f>
        <v>0</v>
      </c>
      <c r="I181" s="241"/>
      <c r="J181" s="240"/>
      <c r="K181" s="15"/>
      <c r="L181" s="15"/>
      <c r="M181" s="15"/>
      <c r="N181" s="244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8"/>
      <c r="Z181" s="8"/>
      <c r="AA181" s="15"/>
      <c r="AB181" s="15"/>
      <c r="AC181" s="3">
        <f t="shared" si="41"/>
        <v>0</v>
      </c>
      <c r="AD181" s="3">
        <f t="shared" si="41"/>
        <v>0</v>
      </c>
      <c r="AE181" s="3"/>
      <c r="AF181" s="258">
        <f>H181+AC181-AD181</f>
        <v>0</v>
      </c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349"/>
    </row>
    <row r="182" spans="1:48" ht="23.25" customHeight="1">
      <c r="A182" s="330"/>
      <c r="B182" s="350" t="s">
        <v>507</v>
      </c>
      <c r="C182" s="133">
        <v>598994</v>
      </c>
      <c r="D182" s="133">
        <f>SUM(D183:D198)</f>
        <v>411117</v>
      </c>
      <c r="E182" s="177"/>
      <c r="F182" s="133">
        <f>SUM(F183:F198)</f>
        <v>84999</v>
      </c>
      <c r="G182" s="177"/>
      <c r="H182" s="133">
        <f aca="true" t="shared" si="44" ref="H182:AB182">SUM(H183:H198)</f>
        <v>272294</v>
      </c>
      <c r="I182" s="178">
        <f t="shared" si="44"/>
        <v>0</v>
      </c>
      <c r="J182" s="178">
        <f t="shared" si="44"/>
        <v>13011</v>
      </c>
      <c r="K182" s="178">
        <f t="shared" si="44"/>
        <v>0</v>
      </c>
      <c r="L182" s="178">
        <f t="shared" si="44"/>
        <v>0</v>
      </c>
      <c r="M182" s="178">
        <f t="shared" si="44"/>
        <v>0</v>
      </c>
      <c r="N182" s="178">
        <f t="shared" si="44"/>
        <v>10453</v>
      </c>
      <c r="O182" s="178">
        <f t="shared" si="44"/>
        <v>0</v>
      </c>
      <c r="P182" s="178">
        <f t="shared" si="44"/>
        <v>0</v>
      </c>
      <c r="Q182" s="178">
        <f t="shared" si="44"/>
        <v>0</v>
      </c>
      <c r="R182" s="178">
        <f t="shared" si="44"/>
        <v>385</v>
      </c>
      <c r="S182" s="178">
        <f t="shared" si="44"/>
        <v>0</v>
      </c>
      <c r="T182" s="178">
        <f t="shared" si="44"/>
        <v>-3188</v>
      </c>
      <c r="U182" s="178">
        <f t="shared" si="44"/>
        <v>0</v>
      </c>
      <c r="V182" s="178">
        <f t="shared" si="44"/>
        <v>0</v>
      </c>
      <c r="W182" s="178">
        <f t="shared" si="44"/>
        <v>0</v>
      </c>
      <c r="X182" s="178">
        <f t="shared" si="44"/>
        <v>0</v>
      </c>
      <c r="Y182" s="178">
        <f t="shared" si="44"/>
        <v>0</v>
      </c>
      <c r="Z182" s="178">
        <f t="shared" si="44"/>
        <v>50</v>
      </c>
      <c r="AA182" s="178">
        <f t="shared" si="44"/>
        <v>0</v>
      </c>
      <c r="AB182" s="178">
        <f t="shared" si="44"/>
        <v>0</v>
      </c>
      <c r="AC182" s="120">
        <f t="shared" si="41"/>
        <v>0</v>
      </c>
      <c r="AD182" s="120">
        <f t="shared" si="41"/>
        <v>20711</v>
      </c>
      <c r="AE182" s="133">
        <f>SUM(AE183:AE198)</f>
        <v>94</v>
      </c>
      <c r="AF182" s="133">
        <f>H182+AD182+AC182+AE182</f>
        <v>293099</v>
      </c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345">
        <v>751873</v>
      </c>
    </row>
    <row r="183" spans="1:48" ht="28.5" customHeight="1" hidden="1">
      <c r="A183" s="331">
        <v>4471</v>
      </c>
      <c r="B183" s="360" t="s">
        <v>508</v>
      </c>
      <c r="C183" s="8">
        <v>20301</v>
      </c>
      <c r="D183" s="3"/>
      <c r="E183" s="68"/>
      <c r="F183" s="3"/>
      <c r="G183" s="68"/>
      <c r="H183" s="3">
        <f>C183+F183-D183</f>
        <v>20301</v>
      </c>
      <c r="I183" s="240"/>
      <c r="J183" s="241"/>
      <c r="K183" s="15"/>
      <c r="L183" s="15"/>
      <c r="M183" s="15"/>
      <c r="N183" s="244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8"/>
      <c r="Z183" s="8"/>
      <c r="AA183" s="15"/>
      <c r="AB183" s="15"/>
      <c r="AC183" s="3">
        <f t="shared" si="41"/>
        <v>0</v>
      </c>
      <c r="AD183" s="3">
        <f t="shared" si="41"/>
        <v>0</v>
      </c>
      <c r="AE183" s="3"/>
      <c r="AF183" s="243">
        <f>H183+AD183-AC183</f>
        <v>20301</v>
      </c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349"/>
    </row>
    <row r="184" spans="1:48" ht="28.5" customHeight="1" hidden="1">
      <c r="A184" s="331">
        <v>4472</v>
      </c>
      <c r="B184" s="360" t="s">
        <v>509</v>
      </c>
      <c r="C184" s="8">
        <v>18192</v>
      </c>
      <c r="D184" s="3"/>
      <c r="E184" s="68"/>
      <c r="F184" s="3"/>
      <c r="G184" s="68"/>
      <c r="H184" s="3">
        <f>C184+F184-D184</f>
        <v>18192</v>
      </c>
      <c r="I184" s="241"/>
      <c r="J184" s="241"/>
      <c r="K184" s="15"/>
      <c r="L184" s="15"/>
      <c r="M184" s="15"/>
      <c r="N184" s="244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8"/>
      <c r="Z184" s="8"/>
      <c r="AA184" s="15"/>
      <c r="AB184" s="15"/>
      <c r="AC184" s="3">
        <f t="shared" si="41"/>
        <v>0</v>
      </c>
      <c r="AD184" s="3">
        <f t="shared" si="41"/>
        <v>0</v>
      </c>
      <c r="AE184" s="3">
        <v>94</v>
      </c>
      <c r="AF184" s="243">
        <f>H184+AD184-AC184+AE184</f>
        <v>18286</v>
      </c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349"/>
    </row>
    <row r="185" spans="1:48" ht="28.5" customHeight="1" hidden="1">
      <c r="A185" s="331">
        <v>4476</v>
      </c>
      <c r="B185" s="360" t="s">
        <v>61</v>
      </c>
      <c r="C185" s="8"/>
      <c r="D185" s="3"/>
      <c r="E185" s="68"/>
      <c r="F185" s="3"/>
      <c r="G185" s="68"/>
      <c r="H185" s="3"/>
      <c r="I185" s="241"/>
      <c r="J185" s="241"/>
      <c r="K185" s="15"/>
      <c r="L185" s="15"/>
      <c r="M185" s="15"/>
      <c r="N185" s="244">
        <v>33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8"/>
      <c r="Z185" s="8"/>
      <c r="AA185" s="15"/>
      <c r="AB185" s="15"/>
      <c r="AC185" s="3">
        <f t="shared" si="41"/>
        <v>0</v>
      </c>
      <c r="AD185" s="3">
        <f t="shared" si="41"/>
        <v>33</v>
      </c>
      <c r="AE185" s="3"/>
      <c r="AF185" s="243">
        <f>H185+AD185-AC185+AE185</f>
        <v>33</v>
      </c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349"/>
    </row>
    <row r="186" spans="1:50" ht="28.5" customHeight="1" hidden="1">
      <c r="A186" s="312">
        <v>4852</v>
      </c>
      <c r="B186" s="348" t="s">
        <v>320</v>
      </c>
      <c r="C186" s="8">
        <v>555</v>
      </c>
      <c r="D186" s="3"/>
      <c r="E186" s="68"/>
      <c r="F186" s="3"/>
      <c r="G186" s="68"/>
      <c r="H186" s="3">
        <f>C186+F186-D186</f>
        <v>555</v>
      </c>
      <c r="I186" s="240"/>
      <c r="J186" s="241">
        <v>240</v>
      </c>
      <c r="K186" s="26"/>
      <c r="L186" s="15"/>
      <c r="M186" s="15"/>
      <c r="N186" s="15">
        <v>0</v>
      </c>
      <c r="O186" s="26"/>
      <c r="P186" s="15"/>
      <c r="Q186" s="15"/>
      <c r="R186" s="15">
        <v>32</v>
      </c>
      <c r="S186" s="15"/>
      <c r="T186" s="15"/>
      <c r="U186" s="15"/>
      <c r="V186" s="15"/>
      <c r="W186" s="15"/>
      <c r="X186" s="15"/>
      <c r="Y186" s="8"/>
      <c r="Z186" s="8"/>
      <c r="AA186" s="15"/>
      <c r="AB186" s="15"/>
      <c r="AC186" s="3">
        <f t="shared" si="41"/>
        <v>0</v>
      </c>
      <c r="AD186" s="3">
        <f t="shared" si="41"/>
        <v>272</v>
      </c>
      <c r="AE186" s="3"/>
      <c r="AF186" s="45">
        <f>H186+AD186-AC186</f>
        <v>827</v>
      </c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349"/>
      <c r="AX186" s="163"/>
    </row>
    <row r="187" spans="1:50" ht="40.5" customHeight="1" hidden="1">
      <c r="A187" s="313">
        <v>5851</v>
      </c>
      <c r="B187" s="348" t="s">
        <v>144</v>
      </c>
      <c r="C187" s="8"/>
      <c r="D187" s="3"/>
      <c r="E187" s="68"/>
      <c r="F187" s="3"/>
      <c r="G187" s="68"/>
      <c r="H187" s="4">
        <f>C187+D187-F187</f>
        <v>0</v>
      </c>
      <c r="I187" s="240"/>
      <c r="J187" s="241"/>
      <c r="K187" s="26"/>
      <c r="L187" s="15"/>
      <c r="M187" s="15"/>
      <c r="N187" s="15"/>
      <c r="O187" s="26"/>
      <c r="P187" s="15"/>
      <c r="Q187" s="15"/>
      <c r="R187" s="15"/>
      <c r="S187" s="15"/>
      <c r="T187" s="15"/>
      <c r="U187" s="15"/>
      <c r="V187" s="15"/>
      <c r="W187" s="15"/>
      <c r="X187" s="15"/>
      <c r="Y187" s="8"/>
      <c r="Z187" s="8"/>
      <c r="AA187" s="15"/>
      <c r="AB187" s="15"/>
      <c r="AC187" s="3">
        <f t="shared" si="41"/>
        <v>0</v>
      </c>
      <c r="AD187" s="3">
        <f t="shared" si="41"/>
        <v>0</v>
      </c>
      <c r="AE187" s="3"/>
      <c r="AF187" s="258">
        <f>H187+AC187-AD187</f>
        <v>0</v>
      </c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349"/>
      <c r="AX187" s="163"/>
    </row>
    <row r="188" spans="1:48" ht="28.5" customHeight="1" hidden="1">
      <c r="A188" s="312">
        <v>4853</v>
      </c>
      <c r="B188" s="348" t="s">
        <v>533</v>
      </c>
      <c r="C188" s="8">
        <v>138</v>
      </c>
      <c r="D188" s="3"/>
      <c r="E188" s="68"/>
      <c r="F188" s="3"/>
      <c r="G188" s="68"/>
      <c r="H188" s="3">
        <f>C188+F188-D188</f>
        <v>138</v>
      </c>
      <c r="I188" s="240"/>
      <c r="J188" s="241">
        <v>2041</v>
      </c>
      <c r="K188" s="15"/>
      <c r="L188" s="15"/>
      <c r="M188" s="15"/>
      <c r="N188" s="244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8"/>
      <c r="Z188" s="8"/>
      <c r="AA188" s="15"/>
      <c r="AB188" s="15"/>
      <c r="AC188" s="3">
        <f t="shared" si="41"/>
        <v>0</v>
      </c>
      <c r="AD188" s="3">
        <f t="shared" si="41"/>
        <v>2041</v>
      </c>
      <c r="AE188" s="3"/>
      <c r="AF188" s="243">
        <f>H188+AD188-AC188</f>
        <v>2179</v>
      </c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349"/>
    </row>
    <row r="189" spans="1:48" s="168" customFormat="1" ht="39" customHeight="1" hidden="1">
      <c r="A189" s="313">
        <v>5853</v>
      </c>
      <c r="B189" s="348" t="s">
        <v>297</v>
      </c>
      <c r="C189" s="8"/>
      <c r="D189" s="4"/>
      <c r="E189" s="68"/>
      <c r="F189" s="4"/>
      <c r="G189" s="68"/>
      <c r="H189" s="4">
        <f>C189+D189-F189</f>
        <v>0</v>
      </c>
      <c r="I189" s="285"/>
      <c r="J189" s="286"/>
      <c r="K189" s="4"/>
      <c r="L189" s="4"/>
      <c r="M189" s="4"/>
      <c r="N189" s="287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8"/>
      <c r="Z189" s="8"/>
      <c r="AA189" s="4"/>
      <c r="AB189" s="4"/>
      <c r="AC189" s="3">
        <f t="shared" si="41"/>
        <v>0</v>
      </c>
      <c r="AD189" s="3">
        <f t="shared" si="41"/>
        <v>0</v>
      </c>
      <c r="AE189" s="4"/>
      <c r="AF189" s="258">
        <f>H189+AC189-AD189</f>
        <v>0</v>
      </c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288"/>
      <c r="AU189" s="288"/>
      <c r="AV189" s="361"/>
    </row>
    <row r="190" spans="1:48" ht="28.5" customHeight="1" hidden="1">
      <c r="A190" s="312">
        <v>4856</v>
      </c>
      <c r="B190" s="348" t="s">
        <v>477</v>
      </c>
      <c r="C190" s="8">
        <v>38590</v>
      </c>
      <c r="D190" s="3"/>
      <c r="E190" s="68"/>
      <c r="F190" s="3"/>
      <c r="G190" s="68"/>
      <c r="H190" s="3">
        <f>C190+F190-D190</f>
        <v>38590</v>
      </c>
      <c r="I190" s="240"/>
      <c r="J190" s="241"/>
      <c r="K190" s="15"/>
      <c r="L190" s="15"/>
      <c r="M190" s="15"/>
      <c r="N190" s="244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8"/>
      <c r="Z190" s="8"/>
      <c r="AA190" s="15"/>
      <c r="AB190" s="15"/>
      <c r="AC190" s="3">
        <f t="shared" si="41"/>
        <v>0</v>
      </c>
      <c r="AD190" s="3">
        <f t="shared" si="41"/>
        <v>0</v>
      </c>
      <c r="AE190" s="3"/>
      <c r="AF190" s="243">
        <f>H190+AD190-AC190</f>
        <v>38590</v>
      </c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349"/>
    </row>
    <row r="191" spans="1:48" s="168" customFormat="1" ht="28.5" customHeight="1" hidden="1">
      <c r="A191" s="313">
        <v>5856</v>
      </c>
      <c r="B191" s="348" t="s">
        <v>478</v>
      </c>
      <c r="C191" s="8"/>
      <c r="D191" s="4"/>
      <c r="E191" s="68"/>
      <c r="F191" s="4"/>
      <c r="G191" s="68"/>
      <c r="H191" s="4">
        <f>C191+D191-F191</f>
        <v>0</v>
      </c>
      <c r="I191" s="285"/>
      <c r="J191" s="286"/>
      <c r="K191" s="4"/>
      <c r="L191" s="4"/>
      <c r="M191" s="4"/>
      <c r="N191" s="287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8"/>
      <c r="Z191" s="8"/>
      <c r="AA191" s="4"/>
      <c r="AB191" s="4"/>
      <c r="AC191" s="3">
        <f t="shared" si="41"/>
        <v>0</v>
      </c>
      <c r="AD191" s="3">
        <f t="shared" si="41"/>
        <v>0</v>
      </c>
      <c r="AE191" s="4"/>
      <c r="AF191" s="258">
        <f>H191+AC191-AD191</f>
        <v>0</v>
      </c>
      <c r="AG191" s="288"/>
      <c r="AH191" s="288"/>
      <c r="AI191" s="288"/>
      <c r="AJ191" s="288"/>
      <c r="AK191" s="288"/>
      <c r="AL191" s="288"/>
      <c r="AM191" s="288"/>
      <c r="AN191" s="288"/>
      <c r="AO191" s="288"/>
      <c r="AP191" s="288"/>
      <c r="AQ191" s="288"/>
      <c r="AR191" s="288"/>
      <c r="AS191" s="288"/>
      <c r="AT191" s="288"/>
      <c r="AU191" s="288"/>
      <c r="AV191" s="361"/>
    </row>
    <row r="192" spans="1:48" ht="28.5" customHeight="1" hidden="1">
      <c r="A192" s="312">
        <v>4900</v>
      </c>
      <c r="B192" s="348" t="s">
        <v>321</v>
      </c>
      <c r="C192" s="8">
        <v>365837</v>
      </c>
      <c r="D192" s="3">
        <v>332449</v>
      </c>
      <c r="E192" s="68" t="s">
        <v>251</v>
      </c>
      <c r="F192" s="3"/>
      <c r="G192" s="68"/>
      <c r="H192" s="3">
        <f aca="true" t="shared" si="45" ref="H192:H198">C192+F192-D192</f>
        <v>33388</v>
      </c>
      <c r="I192" s="240"/>
      <c r="J192" s="241">
        <v>10198</v>
      </c>
      <c r="K192" s="26"/>
      <c r="L192" s="15"/>
      <c r="M192" s="15"/>
      <c r="N192" s="244"/>
      <c r="O192" s="26"/>
      <c r="P192" s="15"/>
      <c r="Q192" s="15"/>
      <c r="R192" s="15"/>
      <c r="S192" s="15"/>
      <c r="T192" s="15"/>
      <c r="U192" s="15"/>
      <c r="V192" s="15"/>
      <c r="W192" s="15"/>
      <c r="X192" s="15"/>
      <c r="Y192" s="8"/>
      <c r="Z192" s="8"/>
      <c r="AA192" s="15"/>
      <c r="AB192" s="15"/>
      <c r="AC192" s="3">
        <f t="shared" si="41"/>
        <v>0</v>
      </c>
      <c r="AD192" s="3">
        <f t="shared" si="41"/>
        <v>10198</v>
      </c>
      <c r="AE192" s="3"/>
      <c r="AF192" s="243">
        <f aca="true" t="shared" si="46" ref="AF192:AF198">H192+AD192-AC192</f>
        <v>43586</v>
      </c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349"/>
    </row>
    <row r="193" spans="1:48" ht="28.5" customHeight="1" hidden="1">
      <c r="A193" s="312">
        <v>4921</v>
      </c>
      <c r="B193" s="348" t="s">
        <v>322</v>
      </c>
      <c r="C193" s="8">
        <v>55387</v>
      </c>
      <c r="D193" s="3">
        <f>2573+4164+21833</f>
        <v>28570</v>
      </c>
      <c r="E193" s="68" t="s">
        <v>318</v>
      </c>
      <c r="F193" s="3">
        <v>84999</v>
      </c>
      <c r="G193" s="68"/>
      <c r="H193" s="3">
        <f t="shared" si="45"/>
        <v>111816</v>
      </c>
      <c r="I193" s="240"/>
      <c r="J193" s="240">
        <v>292</v>
      </c>
      <c r="K193" s="15"/>
      <c r="L193" s="15"/>
      <c r="M193" s="15"/>
      <c r="N193" s="244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8"/>
      <c r="Z193" s="8"/>
      <c r="AA193" s="15"/>
      <c r="AB193" s="15"/>
      <c r="AC193" s="3">
        <f t="shared" si="41"/>
        <v>0</v>
      </c>
      <c r="AD193" s="3">
        <f t="shared" si="41"/>
        <v>292</v>
      </c>
      <c r="AE193" s="3"/>
      <c r="AF193" s="243">
        <f>H193+AD193-AC193+AE193</f>
        <v>112108</v>
      </c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349"/>
    </row>
    <row r="194" spans="1:48" ht="28.5" customHeight="1" hidden="1">
      <c r="A194" s="315">
        <v>4923</v>
      </c>
      <c r="B194" s="348" t="s">
        <v>48</v>
      </c>
      <c r="C194" s="8"/>
      <c r="D194" s="3"/>
      <c r="E194" s="68"/>
      <c r="F194" s="3"/>
      <c r="G194" s="68"/>
      <c r="H194" s="3">
        <f t="shared" si="45"/>
        <v>0</v>
      </c>
      <c r="I194" s="241"/>
      <c r="J194" s="240"/>
      <c r="K194" s="15"/>
      <c r="L194" s="15"/>
      <c r="M194" s="15"/>
      <c r="N194" s="244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8"/>
      <c r="Z194" s="8"/>
      <c r="AA194" s="15"/>
      <c r="AB194" s="15"/>
      <c r="AC194" s="3">
        <f t="shared" si="41"/>
        <v>0</v>
      </c>
      <c r="AD194" s="3">
        <f t="shared" si="41"/>
        <v>0</v>
      </c>
      <c r="AE194" s="3"/>
      <c r="AF194" s="243">
        <f t="shared" si="46"/>
        <v>0</v>
      </c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349"/>
    </row>
    <row r="195" spans="1:48" ht="28.5" customHeight="1" hidden="1">
      <c r="A195" s="312">
        <v>4922</v>
      </c>
      <c r="B195" s="348" t="s">
        <v>323</v>
      </c>
      <c r="C195" s="8">
        <v>37349</v>
      </c>
      <c r="D195" s="3"/>
      <c r="E195" s="68"/>
      <c r="F195" s="3"/>
      <c r="G195" s="68"/>
      <c r="H195" s="3">
        <f t="shared" si="45"/>
        <v>37349</v>
      </c>
      <c r="I195" s="241"/>
      <c r="J195" s="241">
        <v>240</v>
      </c>
      <c r="K195" s="15"/>
      <c r="L195" s="15"/>
      <c r="M195" s="15"/>
      <c r="N195" s="289">
        <f>88+6164+3980+188</f>
        <v>10420</v>
      </c>
      <c r="O195" s="15"/>
      <c r="P195" s="15"/>
      <c r="Q195" s="15"/>
      <c r="R195" s="15">
        <v>353</v>
      </c>
      <c r="S195" s="15"/>
      <c r="T195" s="15"/>
      <c r="U195" s="15"/>
      <c r="V195" s="15"/>
      <c r="W195" s="15"/>
      <c r="X195" s="15"/>
      <c r="Y195" s="8"/>
      <c r="Z195" s="8">
        <f>50</f>
        <v>50</v>
      </c>
      <c r="AA195" s="15"/>
      <c r="AB195" s="15"/>
      <c r="AC195" s="3">
        <f t="shared" si="41"/>
        <v>0</v>
      </c>
      <c r="AD195" s="3">
        <f t="shared" si="41"/>
        <v>11063</v>
      </c>
      <c r="AE195" s="3"/>
      <c r="AF195" s="243">
        <f t="shared" si="46"/>
        <v>48412</v>
      </c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349"/>
    </row>
    <row r="196" spans="1:48" ht="57.75" customHeight="1" hidden="1">
      <c r="A196" s="312">
        <v>4941</v>
      </c>
      <c r="B196" s="348" t="s">
        <v>557</v>
      </c>
      <c r="C196" s="8"/>
      <c r="D196" s="3"/>
      <c r="E196" s="68"/>
      <c r="F196" s="3"/>
      <c r="G196" s="68"/>
      <c r="H196" s="3">
        <f t="shared" si="45"/>
        <v>0</v>
      </c>
      <c r="I196" s="241"/>
      <c r="J196" s="241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8"/>
      <c r="Z196" s="8"/>
      <c r="AA196" s="15"/>
      <c r="AB196" s="15"/>
      <c r="AC196" s="3">
        <f t="shared" si="41"/>
        <v>0</v>
      </c>
      <c r="AD196" s="3">
        <f t="shared" si="41"/>
        <v>0</v>
      </c>
      <c r="AE196" s="3"/>
      <c r="AF196" s="243">
        <f t="shared" si="46"/>
        <v>0</v>
      </c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349"/>
    </row>
    <row r="197" spans="1:48" ht="81" customHeight="1" hidden="1">
      <c r="A197" s="312">
        <v>4942</v>
      </c>
      <c r="B197" s="348" t="s">
        <v>324</v>
      </c>
      <c r="C197" s="8">
        <v>59237</v>
      </c>
      <c r="D197" s="8">
        <f>49129+969</f>
        <v>50098</v>
      </c>
      <c r="E197" s="68" t="s">
        <v>439</v>
      </c>
      <c r="F197" s="8"/>
      <c r="G197" s="75"/>
      <c r="H197" s="3">
        <f t="shared" si="45"/>
        <v>9139</v>
      </c>
      <c r="I197" s="240"/>
      <c r="J197" s="241"/>
      <c r="K197" s="15"/>
      <c r="L197" s="15"/>
      <c r="M197" s="15"/>
      <c r="N197" s="15"/>
      <c r="O197" s="15"/>
      <c r="P197" s="15"/>
      <c r="Q197" s="15"/>
      <c r="R197" s="15"/>
      <c r="S197" s="15"/>
      <c r="T197" s="15">
        <f>-3188</f>
        <v>-3188</v>
      </c>
      <c r="U197" s="15"/>
      <c r="V197" s="15"/>
      <c r="W197" s="15"/>
      <c r="X197" s="15"/>
      <c r="Y197" s="8"/>
      <c r="Z197" s="8"/>
      <c r="AA197" s="15"/>
      <c r="AB197" s="15"/>
      <c r="AC197" s="3">
        <f t="shared" si="41"/>
        <v>0</v>
      </c>
      <c r="AD197" s="3">
        <f t="shared" si="41"/>
        <v>-3188</v>
      </c>
      <c r="AE197" s="8"/>
      <c r="AF197" s="243">
        <f t="shared" si="46"/>
        <v>5951</v>
      </c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349"/>
    </row>
    <row r="198" spans="1:48" ht="42.75" customHeight="1" hidden="1">
      <c r="A198" s="312">
        <v>4943</v>
      </c>
      <c r="B198" s="348" t="s">
        <v>325</v>
      </c>
      <c r="C198" s="8">
        <v>2826</v>
      </c>
      <c r="D198" s="91"/>
      <c r="E198" s="290"/>
      <c r="F198" s="3"/>
      <c r="G198" s="68"/>
      <c r="H198" s="3">
        <f t="shared" si="45"/>
        <v>2826</v>
      </c>
      <c r="I198" s="241"/>
      <c r="J198" s="240"/>
      <c r="K198" s="15"/>
      <c r="L198" s="15"/>
      <c r="M198" s="15"/>
      <c r="N198" s="244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8"/>
      <c r="Z198" s="8"/>
      <c r="AA198" s="15"/>
      <c r="AB198" s="15"/>
      <c r="AC198" s="3">
        <f t="shared" si="41"/>
        <v>0</v>
      </c>
      <c r="AD198" s="3">
        <f t="shared" si="41"/>
        <v>0</v>
      </c>
      <c r="AE198" s="3"/>
      <c r="AF198" s="243">
        <f t="shared" si="46"/>
        <v>2826</v>
      </c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349"/>
    </row>
    <row r="199" spans="1:48" ht="20.25" customHeight="1" hidden="1">
      <c r="A199" s="316"/>
      <c r="B199" s="348" t="s">
        <v>519</v>
      </c>
      <c r="C199" s="8">
        <f>SUM(C200:C201)</f>
        <v>0</v>
      </c>
      <c r="D199" s="3">
        <f>SUM(D200:D201)</f>
        <v>0</v>
      </c>
      <c r="E199" s="68"/>
      <c r="F199" s="3">
        <f>SUM(F200:F201)</f>
        <v>0</v>
      </c>
      <c r="G199" s="68"/>
      <c r="H199" s="3">
        <f aca="true" t="shared" si="47" ref="H199:T199">SUM(H200:H201)</f>
        <v>0</v>
      </c>
      <c r="I199" s="15">
        <f t="shared" si="47"/>
        <v>0</v>
      </c>
      <c r="J199" s="15">
        <f t="shared" si="47"/>
        <v>0</v>
      </c>
      <c r="K199" s="15">
        <f t="shared" si="47"/>
        <v>0</v>
      </c>
      <c r="L199" s="15">
        <f t="shared" si="47"/>
        <v>0</v>
      </c>
      <c r="M199" s="15">
        <f t="shared" si="47"/>
        <v>-442865</v>
      </c>
      <c r="N199" s="15">
        <f t="shared" si="47"/>
        <v>1277313</v>
      </c>
      <c r="O199" s="15">
        <f t="shared" si="47"/>
        <v>0</v>
      </c>
      <c r="P199" s="15">
        <f t="shared" si="47"/>
        <v>0</v>
      </c>
      <c r="Q199" s="15">
        <f t="shared" si="47"/>
        <v>0</v>
      </c>
      <c r="R199" s="15">
        <f t="shared" si="47"/>
        <v>0</v>
      </c>
      <c r="S199" s="15">
        <f t="shared" si="47"/>
        <v>0</v>
      </c>
      <c r="T199" s="15">
        <f t="shared" si="47"/>
        <v>0</v>
      </c>
      <c r="U199" s="15"/>
      <c r="V199" s="15"/>
      <c r="W199" s="15"/>
      <c r="X199" s="15"/>
      <c r="Y199" s="8"/>
      <c r="Z199" s="8"/>
      <c r="AA199" s="15"/>
      <c r="AB199" s="15"/>
      <c r="AC199" s="3">
        <f t="shared" si="41"/>
        <v>-442865</v>
      </c>
      <c r="AD199" s="3">
        <f t="shared" si="41"/>
        <v>1277313</v>
      </c>
      <c r="AE199" s="3"/>
      <c r="AF199" s="3">
        <f>H199+AD199+AC199</f>
        <v>834448</v>
      </c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349"/>
    </row>
    <row r="200" spans="1:48" ht="28.5" customHeight="1" hidden="1">
      <c r="A200" s="313">
        <v>5922</v>
      </c>
      <c r="B200" s="348" t="s">
        <v>434</v>
      </c>
      <c r="C200" s="291"/>
      <c r="D200" s="4"/>
      <c r="E200" s="68"/>
      <c r="F200" s="4"/>
      <c r="G200" s="68"/>
      <c r="H200" s="4">
        <f>C200+D200-F200</f>
        <v>0</v>
      </c>
      <c r="I200" s="292"/>
      <c r="J200" s="293"/>
      <c r="K200" s="15"/>
      <c r="L200" s="15"/>
      <c r="M200" s="15">
        <f>-((331023+364907)-(253065))</f>
        <v>-442865</v>
      </c>
      <c r="N200" s="244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8"/>
      <c r="Z200" s="8"/>
      <c r="AA200" s="15"/>
      <c r="AB200" s="15"/>
      <c r="AC200" s="3">
        <f t="shared" si="41"/>
        <v>-442865</v>
      </c>
      <c r="AD200" s="3">
        <f t="shared" si="41"/>
        <v>0</v>
      </c>
      <c r="AE200" s="3"/>
      <c r="AF200" s="258">
        <f>H200+AC200-AD200</f>
        <v>-442865</v>
      </c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349"/>
    </row>
    <row r="201" spans="1:48" ht="28.5" customHeight="1" hidden="1">
      <c r="A201" s="312">
        <v>4922</v>
      </c>
      <c r="B201" s="348" t="s">
        <v>323</v>
      </c>
      <c r="C201" s="291"/>
      <c r="D201" s="3"/>
      <c r="E201" s="68"/>
      <c r="F201" s="3"/>
      <c r="G201" s="68"/>
      <c r="H201" s="3">
        <f>C201+F201-D201</f>
        <v>0</v>
      </c>
      <c r="I201" s="292"/>
      <c r="J201" s="292"/>
      <c r="K201" s="15"/>
      <c r="L201" s="15"/>
      <c r="M201" s="15"/>
      <c r="N201" s="15">
        <f>1530378-253065</f>
        <v>1277313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8"/>
      <c r="Z201" s="8"/>
      <c r="AA201" s="15"/>
      <c r="AB201" s="15"/>
      <c r="AC201" s="3">
        <f t="shared" si="41"/>
        <v>0</v>
      </c>
      <c r="AD201" s="3">
        <f t="shared" si="41"/>
        <v>1277313</v>
      </c>
      <c r="AE201" s="3"/>
      <c r="AF201" s="243">
        <f>H201+AD201-AC201</f>
        <v>1277313</v>
      </c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349"/>
    </row>
    <row r="202" spans="1:48" ht="21.75" customHeight="1">
      <c r="A202" s="332"/>
      <c r="B202" s="351" t="s">
        <v>510</v>
      </c>
      <c r="C202" s="259">
        <f>C199+C182+C153+C148+C138+C145</f>
        <v>1894554</v>
      </c>
      <c r="D202" s="259">
        <f aca="true" t="shared" si="48" ref="D202:AB202">D199+D182+D153+D148+D138+D145</f>
        <v>543994</v>
      </c>
      <c r="E202" s="259">
        <f t="shared" si="48"/>
        <v>0</v>
      </c>
      <c r="F202" s="259">
        <f t="shared" si="48"/>
        <v>106832</v>
      </c>
      <c r="G202" s="259">
        <f t="shared" si="48"/>
        <v>0</v>
      </c>
      <c r="H202" s="259">
        <f t="shared" si="48"/>
        <v>1458164</v>
      </c>
      <c r="I202" s="259">
        <f t="shared" si="48"/>
        <v>1783</v>
      </c>
      <c r="J202" s="259">
        <f t="shared" si="48"/>
        <v>89799</v>
      </c>
      <c r="K202" s="259">
        <f t="shared" si="48"/>
        <v>0</v>
      </c>
      <c r="L202" s="259">
        <f t="shared" si="48"/>
        <v>0</v>
      </c>
      <c r="M202" s="259">
        <f t="shared" si="48"/>
        <v>-574609</v>
      </c>
      <c r="N202" s="259">
        <f t="shared" si="48"/>
        <v>1472021</v>
      </c>
      <c r="O202" s="259">
        <f t="shared" si="48"/>
        <v>0</v>
      </c>
      <c r="P202" s="259">
        <f t="shared" si="48"/>
        <v>0</v>
      </c>
      <c r="Q202" s="259">
        <f t="shared" si="48"/>
        <v>-72505</v>
      </c>
      <c r="R202" s="259">
        <f t="shared" si="48"/>
        <v>79669</v>
      </c>
      <c r="S202" s="259">
        <f t="shared" si="48"/>
        <v>0</v>
      </c>
      <c r="T202" s="259">
        <f t="shared" si="48"/>
        <v>-3188</v>
      </c>
      <c r="U202" s="259">
        <f t="shared" si="48"/>
        <v>0</v>
      </c>
      <c r="V202" s="259">
        <f t="shared" si="48"/>
        <v>95</v>
      </c>
      <c r="W202" s="259">
        <f t="shared" si="48"/>
        <v>0</v>
      </c>
      <c r="X202" s="259">
        <f t="shared" si="48"/>
        <v>0</v>
      </c>
      <c r="Y202" s="259">
        <f t="shared" si="48"/>
        <v>0</v>
      </c>
      <c r="Z202" s="259">
        <f t="shared" si="48"/>
        <v>50</v>
      </c>
      <c r="AA202" s="259">
        <f t="shared" si="48"/>
        <v>0</v>
      </c>
      <c r="AB202" s="259">
        <f t="shared" si="48"/>
        <v>0</v>
      </c>
      <c r="AC202" s="262">
        <f t="shared" si="41"/>
        <v>-645331</v>
      </c>
      <c r="AD202" s="262">
        <f t="shared" si="41"/>
        <v>1638446</v>
      </c>
      <c r="AE202" s="259">
        <f>AE199+AE182+AE153+AE148+AE138+AE145</f>
        <v>94</v>
      </c>
      <c r="AF202" s="259">
        <f>H202+AD202+AC202+AE202</f>
        <v>2451373</v>
      </c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4"/>
      <c r="AU202" s="264"/>
      <c r="AV202" s="352">
        <f>AV199+AV182+AV153+AV148+AV138+AV145</f>
        <v>1958989</v>
      </c>
    </row>
    <row r="203" spans="1:48" ht="18.75" customHeight="1">
      <c r="A203" s="330"/>
      <c r="B203" s="350" t="s">
        <v>511</v>
      </c>
      <c r="C203" s="133">
        <v>-4608410</v>
      </c>
      <c r="D203" s="181">
        <f>D204</f>
        <v>0</v>
      </c>
      <c r="E203" s="177"/>
      <c r="F203" s="181">
        <f>SUM(F204:F207)</f>
        <v>0</v>
      </c>
      <c r="G203" s="177"/>
      <c r="H203" s="180">
        <f aca="true" t="shared" si="49" ref="H203:H228">C203+D203-F203</f>
        <v>-4608410</v>
      </c>
      <c r="I203" s="178">
        <f aca="true" t="shared" si="50" ref="I203:X203">SUM(I204:I207)</f>
        <v>-314075</v>
      </c>
      <c r="J203" s="178">
        <f t="shared" si="50"/>
        <v>0</v>
      </c>
      <c r="K203" s="178">
        <f t="shared" si="50"/>
        <v>0</v>
      </c>
      <c r="L203" s="178">
        <f t="shared" si="50"/>
        <v>0</v>
      </c>
      <c r="M203" s="178">
        <f t="shared" si="50"/>
        <v>-476117</v>
      </c>
      <c r="N203" s="178">
        <f t="shared" si="50"/>
        <v>0</v>
      </c>
      <c r="O203" s="178">
        <f t="shared" si="50"/>
        <v>0</v>
      </c>
      <c r="P203" s="178">
        <f t="shared" si="50"/>
        <v>0</v>
      </c>
      <c r="Q203" s="178">
        <f t="shared" si="50"/>
        <v>-70718</v>
      </c>
      <c r="R203" s="178">
        <f t="shared" si="50"/>
        <v>0</v>
      </c>
      <c r="S203" s="178">
        <f t="shared" si="50"/>
        <v>0</v>
      </c>
      <c r="T203" s="178">
        <f t="shared" si="50"/>
        <v>0</v>
      </c>
      <c r="U203" s="178">
        <f t="shared" si="50"/>
        <v>0</v>
      </c>
      <c r="V203" s="178">
        <f t="shared" si="50"/>
        <v>0</v>
      </c>
      <c r="W203" s="178">
        <f t="shared" si="50"/>
        <v>0</v>
      </c>
      <c r="X203" s="178">
        <f t="shared" si="50"/>
        <v>0</v>
      </c>
      <c r="Y203" s="178">
        <f>SUM(Y204:Y207)</f>
        <v>-36409</v>
      </c>
      <c r="Z203" s="178">
        <f>SUM(Z204:Z207)</f>
        <v>0</v>
      </c>
      <c r="AA203" s="178">
        <f>SUM(AA204:AA207)</f>
        <v>0</v>
      </c>
      <c r="AB203" s="178">
        <f>SUM(AB204:AB207)</f>
        <v>0</v>
      </c>
      <c r="AC203" s="120">
        <f t="shared" si="41"/>
        <v>-897319</v>
      </c>
      <c r="AD203" s="120">
        <f t="shared" si="41"/>
        <v>0</v>
      </c>
      <c r="AE203" s="181">
        <f>SUM(AE204:AE207)</f>
        <v>0</v>
      </c>
      <c r="AF203" s="236">
        <f aca="true" t="shared" si="51" ref="AF203:AF250">H203+AC203-AD203</f>
        <v>-5505729</v>
      </c>
      <c r="AG203" s="227"/>
      <c r="AH203" s="227"/>
      <c r="AI203" s="227"/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345">
        <v>-2552175</v>
      </c>
    </row>
    <row r="204" spans="1:48" ht="28.5" customHeight="1" hidden="1">
      <c r="A204" s="313">
        <v>5721</v>
      </c>
      <c r="B204" s="344" t="s">
        <v>414</v>
      </c>
      <c r="C204" s="133">
        <v>-3715453</v>
      </c>
      <c r="D204" s="181"/>
      <c r="E204" s="177" t="s">
        <v>347</v>
      </c>
      <c r="F204" s="181"/>
      <c r="G204" s="177"/>
      <c r="H204" s="181">
        <f t="shared" si="49"/>
        <v>-3715453</v>
      </c>
      <c r="I204" s="234">
        <v>-262625</v>
      </c>
      <c r="J204" s="249"/>
      <c r="K204" s="178"/>
      <c r="L204" s="179"/>
      <c r="M204" s="178">
        <f>-(188480+10328+91176+151153)</f>
        <v>-441137</v>
      </c>
      <c r="N204" s="250"/>
      <c r="O204" s="178"/>
      <c r="P204" s="179"/>
      <c r="Q204" s="179">
        <v>-67461</v>
      </c>
      <c r="R204" s="179"/>
      <c r="S204" s="179"/>
      <c r="T204" s="179"/>
      <c r="U204" s="179"/>
      <c r="V204" s="179"/>
      <c r="W204" s="179"/>
      <c r="X204" s="179"/>
      <c r="Y204" s="133">
        <f>-32261</f>
        <v>-32261</v>
      </c>
      <c r="Z204" s="133"/>
      <c r="AA204" s="179"/>
      <c r="AB204" s="179"/>
      <c r="AC204" s="120">
        <f t="shared" si="41"/>
        <v>-803484</v>
      </c>
      <c r="AD204" s="120">
        <f t="shared" si="41"/>
        <v>0</v>
      </c>
      <c r="AE204" s="120"/>
      <c r="AF204" s="236">
        <f t="shared" si="51"/>
        <v>-4518937</v>
      </c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345"/>
    </row>
    <row r="205" spans="1:48" ht="28.5" customHeight="1" hidden="1">
      <c r="A205" s="313">
        <v>5722</v>
      </c>
      <c r="B205" s="344" t="s">
        <v>290</v>
      </c>
      <c r="C205" s="133">
        <v>-37216</v>
      </c>
      <c r="D205" s="181"/>
      <c r="E205" s="177"/>
      <c r="F205" s="181"/>
      <c r="G205" s="177"/>
      <c r="H205" s="181">
        <f t="shared" si="49"/>
        <v>-37216</v>
      </c>
      <c r="I205" s="234"/>
      <c r="J205" s="249"/>
      <c r="K205" s="178"/>
      <c r="L205" s="179"/>
      <c r="M205" s="178"/>
      <c r="N205" s="250"/>
      <c r="O205" s="178"/>
      <c r="P205" s="179"/>
      <c r="Q205" s="179"/>
      <c r="R205" s="179"/>
      <c r="S205" s="179"/>
      <c r="T205" s="179"/>
      <c r="U205" s="179"/>
      <c r="V205" s="179"/>
      <c r="W205" s="179"/>
      <c r="X205" s="179"/>
      <c r="Y205" s="133"/>
      <c r="Z205" s="133"/>
      <c r="AA205" s="179"/>
      <c r="AB205" s="179"/>
      <c r="AC205" s="120">
        <f t="shared" si="41"/>
        <v>0</v>
      </c>
      <c r="AD205" s="120">
        <f t="shared" si="41"/>
        <v>0</v>
      </c>
      <c r="AE205" s="120"/>
      <c r="AF205" s="236">
        <f t="shared" si="51"/>
        <v>-37216</v>
      </c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345"/>
    </row>
    <row r="206" spans="1:48" ht="28.5" customHeight="1" hidden="1">
      <c r="A206" s="313">
        <v>5729</v>
      </c>
      <c r="B206" s="344" t="s">
        <v>415</v>
      </c>
      <c r="C206" s="133">
        <v>-122501</v>
      </c>
      <c r="D206" s="181"/>
      <c r="E206" s="177"/>
      <c r="F206" s="181"/>
      <c r="G206" s="177"/>
      <c r="H206" s="181">
        <f t="shared" si="49"/>
        <v>-122501</v>
      </c>
      <c r="I206" s="234">
        <v>-3175</v>
      </c>
      <c r="J206" s="249"/>
      <c r="K206" s="178"/>
      <c r="L206" s="179"/>
      <c r="M206" s="178">
        <v>-2517</v>
      </c>
      <c r="N206" s="250"/>
      <c r="O206" s="178"/>
      <c r="P206" s="179"/>
      <c r="Q206" s="179">
        <v>-232</v>
      </c>
      <c r="R206" s="179"/>
      <c r="S206" s="179"/>
      <c r="T206" s="179"/>
      <c r="U206" s="179"/>
      <c r="V206" s="179"/>
      <c r="W206" s="179"/>
      <c r="X206" s="179"/>
      <c r="Y206" s="133"/>
      <c r="Z206" s="133"/>
      <c r="AA206" s="179"/>
      <c r="AB206" s="179"/>
      <c r="AC206" s="120">
        <f t="shared" si="41"/>
        <v>-5924</v>
      </c>
      <c r="AD206" s="120">
        <f t="shared" si="41"/>
        <v>0</v>
      </c>
      <c r="AE206" s="120"/>
      <c r="AF206" s="236">
        <f t="shared" si="51"/>
        <v>-128425</v>
      </c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345"/>
    </row>
    <row r="207" spans="1:48" ht="28.5" customHeight="1" hidden="1">
      <c r="A207" s="313">
        <v>5763</v>
      </c>
      <c r="B207" s="344" t="s">
        <v>416</v>
      </c>
      <c r="C207" s="133">
        <v>-409258</v>
      </c>
      <c r="D207" s="181"/>
      <c r="E207" s="177"/>
      <c r="F207" s="181"/>
      <c r="G207" s="177"/>
      <c r="H207" s="181">
        <f t="shared" si="49"/>
        <v>-409258</v>
      </c>
      <c r="I207" s="294">
        <v>-48275</v>
      </c>
      <c r="J207" s="249"/>
      <c r="K207" s="178"/>
      <c r="L207" s="179"/>
      <c r="M207" s="178">
        <v>-32463</v>
      </c>
      <c r="N207" s="250"/>
      <c r="O207" s="178"/>
      <c r="P207" s="179"/>
      <c r="Q207" s="179">
        <v>-3025</v>
      </c>
      <c r="R207" s="179"/>
      <c r="S207" s="179"/>
      <c r="T207" s="179"/>
      <c r="U207" s="179"/>
      <c r="V207" s="179"/>
      <c r="W207" s="179"/>
      <c r="X207" s="179"/>
      <c r="Y207" s="133">
        <f>-4148</f>
        <v>-4148</v>
      </c>
      <c r="Z207" s="133"/>
      <c r="AA207" s="179"/>
      <c r="AB207" s="179"/>
      <c r="AC207" s="120">
        <f t="shared" si="41"/>
        <v>-87911</v>
      </c>
      <c r="AD207" s="120">
        <f t="shared" si="41"/>
        <v>0</v>
      </c>
      <c r="AE207" s="120"/>
      <c r="AF207" s="236">
        <f t="shared" si="51"/>
        <v>-497169</v>
      </c>
      <c r="AG207" s="227"/>
      <c r="AH207" s="227"/>
      <c r="AI207" s="227"/>
      <c r="AJ207" s="227"/>
      <c r="AK207" s="227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345"/>
    </row>
    <row r="208" spans="1:48" ht="20.25" customHeight="1">
      <c r="A208" s="333"/>
      <c r="B208" s="344" t="s">
        <v>512</v>
      </c>
      <c r="C208" s="119">
        <v>-3056438</v>
      </c>
      <c r="D208" s="236">
        <f>SUM(D209:D227)</f>
        <v>0</v>
      </c>
      <c r="E208" s="295"/>
      <c r="F208" s="236">
        <f>SUM(F209:F227)</f>
        <v>-14269</v>
      </c>
      <c r="G208" s="295"/>
      <c r="H208" s="180">
        <f t="shared" si="49"/>
        <v>-3042169</v>
      </c>
      <c r="I208" s="272">
        <f aca="true" t="shared" si="52" ref="I208:AB208">SUM(I209:I227)</f>
        <v>-150310</v>
      </c>
      <c r="J208" s="272">
        <f t="shared" si="52"/>
        <v>0</v>
      </c>
      <c r="K208" s="272">
        <f t="shared" si="52"/>
        <v>0</v>
      </c>
      <c r="L208" s="272">
        <f t="shared" si="52"/>
        <v>0</v>
      </c>
      <c r="M208" s="272">
        <f t="shared" si="52"/>
        <v>-178619</v>
      </c>
      <c r="N208" s="272">
        <f t="shared" si="52"/>
        <v>0</v>
      </c>
      <c r="O208" s="272">
        <f t="shared" si="52"/>
        <v>0</v>
      </c>
      <c r="P208" s="272">
        <f t="shared" si="52"/>
        <v>0</v>
      </c>
      <c r="Q208" s="272">
        <f t="shared" si="52"/>
        <v>-77684</v>
      </c>
      <c r="R208" s="272">
        <f t="shared" si="52"/>
        <v>0</v>
      </c>
      <c r="S208" s="272">
        <f t="shared" si="52"/>
        <v>0</v>
      </c>
      <c r="T208" s="272">
        <f t="shared" si="52"/>
        <v>0</v>
      </c>
      <c r="U208" s="272">
        <f t="shared" si="52"/>
        <v>-7991</v>
      </c>
      <c r="V208" s="272">
        <f t="shared" si="52"/>
        <v>0</v>
      </c>
      <c r="W208" s="272">
        <f t="shared" si="52"/>
        <v>0</v>
      </c>
      <c r="X208" s="272">
        <f t="shared" si="52"/>
        <v>0</v>
      </c>
      <c r="Y208" s="272">
        <f t="shared" si="52"/>
        <v>-15724</v>
      </c>
      <c r="Z208" s="272">
        <f t="shared" si="52"/>
        <v>0</v>
      </c>
      <c r="AA208" s="272">
        <f t="shared" si="52"/>
        <v>0</v>
      </c>
      <c r="AB208" s="272">
        <f t="shared" si="52"/>
        <v>0</v>
      </c>
      <c r="AC208" s="120">
        <f t="shared" si="41"/>
        <v>-430328</v>
      </c>
      <c r="AD208" s="120">
        <f t="shared" si="41"/>
        <v>0</v>
      </c>
      <c r="AE208" s="236">
        <f>SUM(AE209:AE227)</f>
        <v>0</v>
      </c>
      <c r="AF208" s="236">
        <f t="shared" si="51"/>
        <v>-3472497</v>
      </c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345">
        <v>-2275346</v>
      </c>
    </row>
    <row r="209" spans="1:48" ht="54.75" customHeight="1" hidden="1">
      <c r="A209" s="313">
        <v>5741</v>
      </c>
      <c r="B209" s="344" t="s">
        <v>418</v>
      </c>
      <c r="C209" s="133">
        <v>-85777</v>
      </c>
      <c r="D209" s="181"/>
      <c r="E209" s="177"/>
      <c r="F209" s="181"/>
      <c r="G209" s="177"/>
      <c r="H209" s="181">
        <f t="shared" si="49"/>
        <v>-85777</v>
      </c>
      <c r="I209" s="234">
        <v>-12679</v>
      </c>
      <c r="J209" s="249"/>
      <c r="K209" s="178"/>
      <c r="L209" s="179"/>
      <c r="M209" s="178">
        <f>-1105-199</f>
        <v>-1304</v>
      </c>
      <c r="N209" s="250"/>
      <c r="O209" s="178"/>
      <c r="P209" s="179"/>
      <c r="Q209" s="179">
        <v>-2376</v>
      </c>
      <c r="R209" s="179"/>
      <c r="S209" s="179"/>
      <c r="T209" s="179"/>
      <c r="U209" s="179"/>
      <c r="V209" s="179"/>
      <c r="W209" s="179"/>
      <c r="X209" s="179"/>
      <c r="Y209" s="133">
        <f>-784</f>
        <v>-784</v>
      </c>
      <c r="Z209" s="133"/>
      <c r="AA209" s="179"/>
      <c r="AB209" s="179"/>
      <c r="AC209" s="120">
        <f t="shared" si="41"/>
        <v>-17143</v>
      </c>
      <c r="AD209" s="120">
        <f t="shared" si="41"/>
        <v>0</v>
      </c>
      <c r="AE209" s="181"/>
      <c r="AF209" s="236">
        <f t="shared" si="51"/>
        <v>-102920</v>
      </c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345"/>
    </row>
    <row r="210" spans="1:48" ht="28.5" customHeight="1" hidden="1">
      <c r="A210" s="313">
        <v>5742</v>
      </c>
      <c r="B210" s="344" t="s">
        <v>419</v>
      </c>
      <c r="C210" s="133">
        <v>-460976</v>
      </c>
      <c r="D210" s="181"/>
      <c r="E210" s="177"/>
      <c r="F210" s="181"/>
      <c r="G210" s="177"/>
      <c r="H210" s="181">
        <f t="shared" si="49"/>
        <v>-460976</v>
      </c>
      <c r="I210" s="234">
        <v>-17472</v>
      </c>
      <c r="J210" s="249"/>
      <c r="K210" s="178"/>
      <c r="L210" s="179"/>
      <c r="M210" s="178">
        <f>-(19298-1105)-1261-946-6082</f>
        <v>-26482</v>
      </c>
      <c r="N210" s="250"/>
      <c r="O210" s="178"/>
      <c r="P210" s="179"/>
      <c r="Q210" s="179">
        <v>-5243</v>
      </c>
      <c r="R210" s="179"/>
      <c r="S210" s="179"/>
      <c r="T210" s="179"/>
      <c r="U210" s="179">
        <v>-7991</v>
      </c>
      <c r="V210" s="179"/>
      <c r="W210" s="179"/>
      <c r="X210" s="179"/>
      <c r="Y210" s="133">
        <f>-25</f>
        <v>-25</v>
      </c>
      <c r="Z210" s="133"/>
      <c r="AA210" s="179"/>
      <c r="AB210" s="179"/>
      <c r="AC210" s="120">
        <f t="shared" si="41"/>
        <v>-57213</v>
      </c>
      <c r="AD210" s="120">
        <f t="shared" si="41"/>
        <v>0</v>
      </c>
      <c r="AE210" s="181"/>
      <c r="AF210" s="236">
        <f t="shared" si="51"/>
        <v>-518189</v>
      </c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345"/>
    </row>
    <row r="211" spans="1:48" ht="28.5" customHeight="1" hidden="1">
      <c r="A211" s="313">
        <v>5743</v>
      </c>
      <c r="B211" s="344" t="s">
        <v>420</v>
      </c>
      <c r="C211" s="133">
        <v>-13057</v>
      </c>
      <c r="D211" s="181"/>
      <c r="E211" s="177"/>
      <c r="F211" s="181"/>
      <c r="G211" s="177"/>
      <c r="H211" s="181">
        <f t="shared" si="49"/>
        <v>-13057</v>
      </c>
      <c r="I211" s="234"/>
      <c r="J211" s="249"/>
      <c r="K211" s="178"/>
      <c r="L211" s="178"/>
      <c r="M211" s="178"/>
      <c r="N211" s="250"/>
      <c r="O211" s="178"/>
      <c r="P211" s="178"/>
      <c r="Q211" s="178">
        <v>-23</v>
      </c>
      <c r="R211" s="178"/>
      <c r="S211" s="178"/>
      <c r="T211" s="178"/>
      <c r="U211" s="178"/>
      <c r="V211" s="178"/>
      <c r="W211" s="178"/>
      <c r="X211" s="178"/>
      <c r="Y211" s="133"/>
      <c r="Z211" s="133"/>
      <c r="AA211" s="178"/>
      <c r="AB211" s="178"/>
      <c r="AC211" s="120">
        <f t="shared" si="41"/>
        <v>-23</v>
      </c>
      <c r="AD211" s="120">
        <f t="shared" si="41"/>
        <v>0</v>
      </c>
      <c r="AE211" s="181"/>
      <c r="AF211" s="236">
        <f t="shared" si="51"/>
        <v>-13080</v>
      </c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345"/>
    </row>
    <row r="212" spans="1:48" ht="28.5" customHeight="1" hidden="1">
      <c r="A212" s="313">
        <v>5744</v>
      </c>
      <c r="B212" s="344" t="s">
        <v>421</v>
      </c>
      <c r="C212" s="133">
        <v>-167079</v>
      </c>
      <c r="D212" s="181"/>
      <c r="E212" s="177"/>
      <c r="F212" s="181"/>
      <c r="G212" s="177"/>
      <c r="H212" s="181">
        <f t="shared" si="49"/>
        <v>-167079</v>
      </c>
      <c r="I212" s="234">
        <v>-12524</v>
      </c>
      <c r="J212" s="249"/>
      <c r="K212" s="178"/>
      <c r="L212" s="179"/>
      <c r="M212" s="178"/>
      <c r="N212" s="250"/>
      <c r="O212" s="178"/>
      <c r="P212" s="179"/>
      <c r="Q212" s="179">
        <v>-5025</v>
      </c>
      <c r="R212" s="179"/>
      <c r="S212" s="179"/>
      <c r="T212" s="179"/>
      <c r="U212" s="179"/>
      <c r="V212" s="179"/>
      <c r="W212" s="179"/>
      <c r="X212" s="179"/>
      <c r="Y212" s="133">
        <f>-1330</f>
        <v>-1330</v>
      </c>
      <c r="Z212" s="133"/>
      <c r="AA212" s="179"/>
      <c r="AB212" s="179"/>
      <c r="AC212" s="120">
        <f t="shared" si="41"/>
        <v>-18879</v>
      </c>
      <c r="AD212" s="120">
        <f t="shared" si="41"/>
        <v>0</v>
      </c>
      <c r="AE212" s="181"/>
      <c r="AF212" s="236">
        <f t="shared" si="51"/>
        <v>-185958</v>
      </c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345"/>
    </row>
    <row r="213" spans="1:48" ht="28.5" customHeight="1" hidden="1">
      <c r="A213" s="313">
        <v>5745</v>
      </c>
      <c r="B213" s="344" t="s">
        <v>422</v>
      </c>
      <c r="C213" s="133">
        <v>-581286</v>
      </c>
      <c r="D213" s="181"/>
      <c r="E213" s="177"/>
      <c r="F213" s="181"/>
      <c r="G213" s="177"/>
      <c r="H213" s="181">
        <f t="shared" si="49"/>
        <v>-581286</v>
      </c>
      <c r="I213" s="234">
        <v>-17396</v>
      </c>
      <c r="J213" s="249"/>
      <c r="K213" s="178"/>
      <c r="L213" s="179"/>
      <c r="M213" s="178">
        <v>-11231</v>
      </c>
      <c r="N213" s="250"/>
      <c r="O213" s="178"/>
      <c r="P213" s="179"/>
      <c r="Q213" s="179">
        <v>-14593</v>
      </c>
      <c r="R213" s="179"/>
      <c r="S213" s="179"/>
      <c r="T213" s="179"/>
      <c r="U213" s="179"/>
      <c r="V213" s="179"/>
      <c r="W213" s="179"/>
      <c r="X213" s="179"/>
      <c r="Y213" s="133">
        <f>-7663</f>
        <v>-7663</v>
      </c>
      <c r="Z213" s="133"/>
      <c r="AA213" s="179"/>
      <c r="AB213" s="179"/>
      <c r="AC213" s="120">
        <f t="shared" si="41"/>
        <v>-50883</v>
      </c>
      <c r="AD213" s="120">
        <f t="shared" si="41"/>
        <v>0</v>
      </c>
      <c r="AE213" s="181"/>
      <c r="AF213" s="236">
        <f t="shared" si="51"/>
        <v>-632169</v>
      </c>
      <c r="AG213" s="227"/>
      <c r="AH213" s="227"/>
      <c r="AI213" s="227"/>
      <c r="AJ213" s="227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345"/>
    </row>
    <row r="214" spans="1:48" ht="28.5" customHeight="1" hidden="1">
      <c r="A214" s="313">
        <v>5746</v>
      </c>
      <c r="B214" s="344" t="s">
        <v>423</v>
      </c>
      <c r="C214" s="133">
        <v>-56224</v>
      </c>
      <c r="D214" s="181"/>
      <c r="E214" s="177"/>
      <c r="F214" s="181"/>
      <c r="G214" s="177"/>
      <c r="H214" s="181">
        <f t="shared" si="49"/>
        <v>-56224</v>
      </c>
      <c r="I214" s="234">
        <v>-11327</v>
      </c>
      <c r="J214" s="249"/>
      <c r="K214" s="178"/>
      <c r="L214" s="179"/>
      <c r="M214" s="178">
        <v>-172</v>
      </c>
      <c r="N214" s="250"/>
      <c r="O214" s="178"/>
      <c r="P214" s="179"/>
      <c r="Q214" s="179">
        <v>-1907</v>
      </c>
      <c r="R214" s="179"/>
      <c r="S214" s="179"/>
      <c r="T214" s="179"/>
      <c r="U214" s="179"/>
      <c r="V214" s="179"/>
      <c r="W214" s="179"/>
      <c r="X214" s="179"/>
      <c r="Y214" s="133"/>
      <c r="Z214" s="133"/>
      <c r="AA214" s="179"/>
      <c r="AB214" s="179"/>
      <c r="AC214" s="120">
        <f t="shared" si="41"/>
        <v>-13406</v>
      </c>
      <c r="AD214" s="120">
        <f t="shared" si="41"/>
        <v>0</v>
      </c>
      <c r="AE214" s="181"/>
      <c r="AF214" s="236">
        <f t="shared" si="51"/>
        <v>-69630</v>
      </c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345"/>
    </row>
    <row r="215" spans="1:48" ht="28.5" customHeight="1" hidden="1">
      <c r="A215" s="313">
        <v>5747</v>
      </c>
      <c r="B215" s="344" t="s">
        <v>424</v>
      </c>
      <c r="C215" s="133">
        <v>-36125</v>
      </c>
      <c r="D215" s="181"/>
      <c r="E215" s="177"/>
      <c r="F215" s="181"/>
      <c r="G215" s="177"/>
      <c r="H215" s="181">
        <f t="shared" si="49"/>
        <v>-36125</v>
      </c>
      <c r="I215" s="234">
        <v>-16967</v>
      </c>
      <c r="J215" s="249"/>
      <c r="K215" s="178"/>
      <c r="L215" s="179"/>
      <c r="M215" s="178">
        <v>-6369</v>
      </c>
      <c r="N215" s="250"/>
      <c r="O215" s="178"/>
      <c r="P215" s="179"/>
      <c r="Q215" s="179">
        <v>-130</v>
      </c>
      <c r="R215" s="179"/>
      <c r="S215" s="179"/>
      <c r="T215" s="179"/>
      <c r="U215" s="179"/>
      <c r="V215" s="179"/>
      <c r="W215" s="179"/>
      <c r="X215" s="179"/>
      <c r="Y215" s="133"/>
      <c r="Z215" s="133"/>
      <c r="AA215" s="179"/>
      <c r="AB215" s="179"/>
      <c r="AC215" s="120">
        <f t="shared" si="41"/>
        <v>-23466</v>
      </c>
      <c r="AD215" s="120">
        <f t="shared" si="41"/>
        <v>0</v>
      </c>
      <c r="AE215" s="181"/>
      <c r="AF215" s="236">
        <f t="shared" si="51"/>
        <v>-59591</v>
      </c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345"/>
    </row>
    <row r="216" spans="1:48" ht="28.5" customHeight="1" hidden="1">
      <c r="A216" s="313">
        <v>5748</v>
      </c>
      <c r="B216" s="344" t="s">
        <v>425</v>
      </c>
      <c r="C216" s="133">
        <v>-12818</v>
      </c>
      <c r="D216" s="181"/>
      <c r="E216" s="177"/>
      <c r="F216" s="181"/>
      <c r="G216" s="177"/>
      <c r="H216" s="181">
        <f t="shared" si="49"/>
        <v>-12818</v>
      </c>
      <c r="I216" s="234">
        <v>-1139</v>
      </c>
      <c r="J216" s="249"/>
      <c r="K216" s="178"/>
      <c r="L216" s="179"/>
      <c r="M216" s="178">
        <v>-2151</v>
      </c>
      <c r="N216" s="250"/>
      <c r="O216" s="178"/>
      <c r="P216" s="179"/>
      <c r="Q216" s="179">
        <v>-9169</v>
      </c>
      <c r="R216" s="179"/>
      <c r="S216" s="179"/>
      <c r="T216" s="179"/>
      <c r="U216" s="179"/>
      <c r="V216" s="179"/>
      <c r="W216" s="179"/>
      <c r="X216" s="179"/>
      <c r="Y216" s="133"/>
      <c r="Z216" s="133"/>
      <c r="AA216" s="179"/>
      <c r="AB216" s="179"/>
      <c r="AC216" s="120">
        <f t="shared" si="41"/>
        <v>-12459</v>
      </c>
      <c r="AD216" s="120">
        <f t="shared" si="41"/>
        <v>0</v>
      </c>
      <c r="AE216" s="181"/>
      <c r="AF216" s="236">
        <f t="shared" si="51"/>
        <v>-25277</v>
      </c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345"/>
    </row>
    <row r="217" spans="1:48" ht="28.5" customHeight="1" hidden="1">
      <c r="A217" s="313">
        <v>5749</v>
      </c>
      <c r="B217" s="344" t="s">
        <v>426</v>
      </c>
      <c r="C217" s="133">
        <v>-254860</v>
      </c>
      <c r="D217" s="181"/>
      <c r="E217" s="177"/>
      <c r="F217" s="181"/>
      <c r="G217" s="177"/>
      <c r="H217" s="181">
        <f t="shared" si="49"/>
        <v>-254860</v>
      </c>
      <c r="I217" s="234">
        <v>-7311</v>
      </c>
      <c r="J217" s="249"/>
      <c r="K217" s="178"/>
      <c r="L217" s="179"/>
      <c r="M217" s="178">
        <v>-12551</v>
      </c>
      <c r="N217" s="250"/>
      <c r="O217" s="178"/>
      <c r="P217" s="179"/>
      <c r="Q217" s="179">
        <v>-4668</v>
      </c>
      <c r="R217" s="179"/>
      <c r="S217" s="179"/>
      <c r="T217" s="179"/>
      <c r="U217" s="179"/>
      <c r="V217" s="179"/>
      <c r="W217" s="179"/>
      <c r="X217" s="179"/>
      <c r="Y217" s="133">
        <f>-226</f>
        <v>-226</v>
      </c>
      <c r="Z217" s="133"/>
      <c r="AA217" s="179"/>
      <c r="AB217" s="179"/>
      <c r="AC217" s="120">
        <f t="shared" si="41"/>
        <v>-24756</v>
      </c>
      <c r="AD217" s="120">
        <f t="shared" si="41"/>
        <v>0</v>
      </c>
      <c r="AE217" s="181"/>
      <c r="AF217" s="236">
        <f t="shared" si="51"/>
        <v>-279616</v>
      </c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345"/>
    </row>
    <row r="218" spans="1:48" ht="28.5" customHeight="1" hidden="1">
      <c r="A218" s="313">
        <v>5750</v>
      </c>
      <c r="B218" s="344" t="s">
        <v>427</v>
      </c>
      <c r="C218" s="133">
        <v>-70778</v>
      </c>
      <c r="D218" s="181"/>
      <c r="E218" s="177"/>
      <c r="F218" s="181"/>
      <c r="G218" s="177"/>
      <c r="H218" s="181">
        <f>C218+D218-F218</f>
        <v>-70778</v>
      </c>
      <c r="I218" s="234">
        <v>-18169</v>
      </c>
      <c r="J218" s="249"/>
      <c r="K218" s="178"/>
      <c r="L218" s="179"/>
      <c r="M218" s="178">
        <v>-5879</v>
      </c>
      <c r="N218" s="250"/>
      <c r="O218" s="178"/>
      <c r="P218" s="179"/>
      <c r="Q218" s="179">
        <v>-2162</v>
      </c>
      <c r="R218" s="179"/>
      <c r="S218" s="179"/>
      <c r="T218" s="179"/>
      <c r="U218" s="179"/>
      <c r="V218" s="179"/>
      <c r="W218" s="179"/>
      <c r="X218" s="179"/>
      <c r="Y218" s="133"/>
      <c r="Z218" s="133"/>
      <c r="AA218" s="179"/>
      <c r="AB218" s="179"/>
      <c r="AC218" s="120">
        <f t="shared" si="41"/>
        <v>-26210</v>
      </c>
      <c r="AD218" s="120">
        <f t="shared" si="41"/>
        <v>0</v>
      </c>
      <c r="AE218" s="181"/>
      <c r="AF218" s="236">
        <f t="shared" si="51"/>
        <v>-96988</v>
      </c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345"/>
    </row>
    <row r="219" spans="1:48" ht="28.5" customHeight="1" hidden="1">
      <c r="A219" s="313">
        <v>5752</v>
      </c>
      <c r="B219" s="344" t="s">
        <v>428</v>
      </c>
      <c r="C219" s="119">
        <v>-10390</v>
      </c>
      <c r="D219" s="181"/>
      <c r="E219" s="177"/>
      <c r="F219" s="181"/>
      <c r="G219" s="177"/>
      <c r="H219" s="181">
        <f>C219+D219-F219</f>
        <v>-10390</v>
      </c>
      <c r="I219" s="234">
        <v>-1435</v>
      </c>
      <c r="J219" s="249"/>
      <c r="K219" s="178"/>
      <c r="L219" s="179"/>
      <c r="M219" s="178">
        <f>-413-900</f>
        <v>-1313</v>
      </c>
      <c r="N219" s="250"/>
      <c r="O219" s="178"/>
      <c r="P219" s="179"/>
      <c r="Q219" s="179">
        <v>-316</v>
      </c>
      <c r="R219" s="179"/>
      <c r="S219" s="179"/>
      <c r="T219" s="179"/>
      <c r="U219" s="179"/>
      <c r="V219" s="179"/>
      <c r="W219" s="179"/>
      <c r="X219" s="179"/>
      <c r="Y219" s="133">
        <f>-14</f>
        <v>-14</v>
      </c>
      <c r="Z219" s="133"/>
      <c r="AA219" s="179"/>
      <c r="AB219" s="179"/>
      <c r="AC219" s="120">
        <f t="shared" si="41"/>
        <v>-3078</v>
      </c>
      <c r="AD219" s="120">
        <f t="shared" si="41"/>
        <v>0</v>
      </c>
      <c r="AE219" s="181"/>
      <c r="AF219" s="236">
        <f t="shared" si="51"/>
        <v>-13468</v>
      </c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345"/>
    </row>
    <row r="220" spans="1:48" ht="28.5" customHeight="1" hidden="1">
      <c r="A220" s="313">
        <v>5753</v>
      </c>
      <c r="B220" s="344" t="s">
        <v>429</v>
      </c>
      <c r="C220" s="133">
        <v>-233887</v>
      </c>
      <c r="D220" s="181"/>
      <c r="E220" s="177"/>
      <c r="F220" s="181"/>
      <c r="G220" s="177"/>
      <c r="H220" s="181">
        <f t="shared" si="49"/>
        <v>-233887</v>
      </c>
      <c r="I220" s="234">
        <v>-15091</v>
      </c>
      <c r="J220" s="249"/>
      <c r="K220" s="178"/>
      <c r="L220" s="179"/>
      <c r="M220" s="178">
        <v>-12322</v>
      </c>
      <c r="N220" s="250"/>
      <c r="O220" s="178"/>
      <c r="P220" s="179"/>
      <c r="Q220" s="179">
        <v>-2561</v>
      </c>
      <c r="R220" s="179"/>
      <c r="S220" s="179"/>
      <c r="T220" s="179"/>
      <c r="U220" s="179"/>
      <c r="V220" s="179"/>
      <c r="W220" s="179"/>
      <c r="X220" s="179"/>
      <c r="Y220" s="133">
        <f>-429</f>
        <v>-429</v>
      </c>
      <c r="Z220" s="133"/>
      <c r="AA220" s="179"/>
      <c r="AB220" s="179"/>
      <c r="AC220" s="120">
        <f t="shared" si="41"/>
        <v>-30403</v>
      </c>
      <c r="AD220" s="120">
        <f t="shared" si="41"/>
        <v>0</v>
      </c>
      <c r="AE220" s="181"/>
      <c r="AF220" s="236">
        <f t="shared" si="51"/>
        <v>-264290</v>
      </c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345"/>
    </row>
    <row r="221" spans="1:48" ht="28.5" customHeight="1" hidden="1">
      <c r="A221" s="313">
        <v>5852</v>
      </c>
      <c r="B221" s="344" t="s">
        <v>431</v>
      </c>
      <c r="C221" s="133">
        <v>-32451</v>
      </c>
      <c r="D221" s="181"/>
      <c r="E221" s="177"/>
      <c r="F221" s="181"/>
      <c r="G221" s="177"/>
      <c r="H221" s="181">
        <f>C221+D221-F221</f>
        <v>-32451</v>
      </c>
      <c r="I221" s="252"/>
      <c r="J221" s="235"/>
      <c r="K221" s="181"/>
      <c r="L221" s="181"/>
      <c r="M221" s="181">
        <v>-974</v>
      </c>
      <c r="N221" s="181"/>
      <c r="O221" s="181"/>
      <c r="P221" s="181"/>
      <c r="Q221" s="181">
        <v>-14</v>
      </c>
      <c r="R221" s="181"/>
      <c r="S221" s="181"/>
      <c r="T221" s="181"/>
      <c r="U221" s="181"/>
      <c r="V221" s="181"/>
      <c r="W221" s="181"/>
      <c r="X221" s="181"/>
      <c r="Y221" s="133"/>
      <c r="Z221" s="133"/>
      <c r="AA221" s="181"/>
      <c r="AB221" s="181"/>
      <c r="AC221" s="120">
        <f aca="true" t="shared" si="53" ref="AC221:AD257">I221+K221+M221+O221+Q221+S221+U221+W221+Y221+AA221</f>
        <v>-988</v>
      </c>
      <c r="AD221" s="120">
        <f t="shared" si="53"/>
        <v>0</v>
      </c>
      <c r="AE221" s="181"/>
      <c r="AF221" s="236">
        <f>H221+AC221-AD221</f>
        <v>-33439</v>
      </c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345"/>
    </row>
    <row r="222" spans="1:48" ht="28.5" customHeight="1" hidden="1">
      <c r="A222" s="313">
        <v>5900</v>
      </c>
      <c r="B222" s="344" t="s">
        <v>321</v>
      </c>
      <c r="C222" s="133">
        <v>-907</v>
      </c>
      <c r="D222" s="181"/>
      <c r="E222" s="177"/>
      <c r="F222" s="181"/>
      <c r="G222" s="177"/>
      <c r="H222" s="181">
        <f t="shared" si="49"/>
        <v>-907</v>
      </c>
      <c r="I222" s="234">
        <v>-280</v>
      </c>
      <c r="J222" s="249"/>
      <c r="K222" s="178"/>
      <c r="L222" s="178"/>
      <c r="M222" s="178">
        <v>-1441</v>
      </c>
      <c r="N222" s="250"/>
      <c r="O222" s="178"/>
      <c r="P222" s="178"/>
      <c r="Q222" s="178">
        <v>-28</v>
      </c>
      <c r="R222" s="178"/>
      <c r="S222" s="178"/>
      <c r="T222" s="178"/>
      <c r="U222" s="178"/>
      <c r="V222" s="178"/>
      <c r="W222" s="178"/>
      <c r="X222" s="178"/>
      <c r="Y222" s="133"/>
      <c r="Z222" s="133"/>
      <c r="AA222" s="178"/>
      <c r="AB222" s="178"/>
      <c r="AC222" s="120">
        <f t="shared" si="53"/>
        <v>-1749</v>
      </c>
      <c r="AD222" s="120">
        <f t="shared" si="53"/>
        <v>0</v>
      </c>
      <c r="AE222" s="181"/>
      <c r="AF222" s="236">
        <f t="shared" si="51"/>
        <v>-2656</v>
      </c>
      <c r="AG222" s="227"/>
      <c r="AH222" s="227"/>
      <c r="AI222" s="227"/>
      <c r="AJ222" s="227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345"/>
    </row>
    <row r="223" spans="1:48" ht="39.75" customHeight="1" hidden="1">
      <c r="A223" s="313">
        <v>5921</v>
      </c>
      <c r="B223" s="344" t="s">
        <v>433</v>
      </c>
      <c r="C223" s="133">
        <v>-143097</v>
      </c>
      <c r="D223" s="181"/>
      <c r="E223" s="177"/>
      <c r="F223" s="181">
        <f>-4932-4569</f>
        <v>-9501</v>
      </c>
      <c r="G223" s="177" t="s">
        <v>458</v>
      </c>
      <c r="H223" s="181">
        <f>C223+D223-F223</f>
        <v>-133596</v>
      </c>
      <c r="I223" s="234">
        <v>-858</v>
      </c>
      <c r="J223" s="249"/>
      <c r="K223" s="178"/>
      <c r="L223" s="179"/>
      <c r="M223" s="178">
        <v>-569</v>
      </c>
      <c r="N223" s="250"/>
      <c r="O223" s="178"/>
      <c r="P223" s="179"/>
      <c r="Q223" s="179">
        <v>-8111</v>
      </c>
      <c r="R223" s="179"/>
      <c r="S223" s="179"/>
      <c r="T223" s="179"/>
      <c r="U223" s="179"/>
      <c r="V223" s="179"/>
      <c r="W223" s="179"/>
      <c r="X223" s="179"/>
      <c r="Y223" s="133"/>
      <c r="Z223" s="133"/>
      <c r="AA223" s="179"/>
      <c r="AB223" s="179"/>
      <c r="AC223" s="120">
        <f t="shared" si="53"/>
        <v>-9538</v>
      </c>
      <c r="AD223" s="120">
        <f t="shared" si="53"/>
        <v>0</v>
      </c>
      <c r="AE223" s="181"/>
      <c r="AF223" s="236">
        <f t="shared" si="51"/>
        <v>-143134</v>
      </c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345"/>
    </row>
    <row r="224" spans="1:48" ht="28.5" customHeight="1" hidden="1">
      <c r="A224" s="313">
        <v>5922</v>
      </c>
      <c r="B224" s="344" t="s">
        <v>434</v>
      </c>
      <c r="C224" s="133">
        <v>-497941</v>
      </c>
      <c r="D224" s="181"/>
      <c r="E224" s="177"/>
      <c r="F224" s="181"/>
      <c r="G224" s="177"/>
      <c r="H224" s="181">
        <f t="shared" si="49"/>
        <v>-497941</v>
      </c>
      <c r="I224" s="234">
        <v>-7544</v>
      </c>
      <c r="J224" s="249"/>
      <c r="K224" s="178"/>
      <c r="L224" s="179"/>
      <c r="M224" s="178">
        <f>-5166-1213-14318-(295+2675+2264)</f>
        <v>-25931</v>
      </c>
      <c r="N224" s="250"/>
      <c r="O224" s="178"/>
      <c r="P224" s="179"/>
      <c r="Q224" s="179">
        <v>-1248</v>
      </c>
      <c r="R224" s="179"/>
      <c r="S224" s="179"/>
      <c r="T224" s="179"/>
      <c r="U224" s="179"/>
      <c r="V224" s="179"/>
      <c r="W224" s="179"/>
      <c r="X224" s="179"/>
      <c r="Y224" s="133">
        <f>-3792</f>
        <v>-3792</v>
      </c>
      <c r="Z224" s="133"/>
      <c r="AA224" s="179"/>
      <c r="AB224" s="179"/>
      <c r="AC224" s="120">
        <f t="shared" si="53"/>
        <v>-38515</v>
      </c>
      <c r="AD224" s="120">
        <f t="shared" si="53"/>
        <v>0</v>
      </c>
      <c r="AE224" s="181"/>
      <c r="AF224" s="236">
        <f t="shared" si="51"/>
        <v>-536456</v>
      </c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345"/>
    </row>
    <row r="225" spans="1:48" ht="28.5" customHeight="1" hidden="1">
      <c r="A225" s="313">
        <v>5923</v>
      </c>
      <c r="B225" s="344" t="s">
        <v>435</v>
      </c>
      <c r="C225" s="133">
        <v>-389507</v>
      </c>
      <c r="D225" s="181"/>
      <c r="E225" s="177"/>
      <c r="F225" s="181"/>
      <c r="G225" s="177"/>
      <c r="H225" s="181">
        <f t="shared" si="49"/>
        <v>-389507</v>
      </c>
      <c r="I225" s="234">
        <v>-10118</v>
      </c>
      <c r="J225" s="249"/>
      <c r="K225" s="178"/>
      <c r="L225" s="179"/>
      <c r="M225" s="178">
        <v>-69930</v>
      </c>
      <c r="N225" s="250"/>
      <c r="O225" s="178"/>
      <c r="P225" s="179"/>
      <c r="Q225" s="179">
        <v>-20110</v>
      </c>
      <c r="R225" s="179"/>
      <c r="S225" s="179"/>
      <c r="T225" s="179"/>
      <c r="U225" s="179"/>
      <c r="V225" s="179"/>
      <c r="W225" s="179"/>
      <c r="X225" s="179"/>
      <c r="Y225" s="133">
        <f>-1461</f>
        <v>-1461</v>
      </c>
      <c r="Z225" s="133"/>
      <c r="AA225" s="179"/>
      <c r="AB225" s="179"/>
      <c r="AC225" s="120">
        <f t="shared" si="53"/>
        <v>-101619</v>
      </c>
      <c r="AD225" s="120">
        <f t="shared" si="53"/>
        <v>0</v>
      </c>
      <c r="AE225" s="181"/>
      <c r="AF225" s="236">
        <f t="shared" si="51"/>
        <v>-491126</v>
      </c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345"/>
    </row>
    <row r="226" spans="1:48" ht="28.5" customHeight="1" hidden="1">
      <c r="A226" s="313">
        <v>5941</v>
      </c>
      <c r="B226" s="344" t="s">
        <v>555</v>
      </c>
      <c r="C226" s="133"/>
      <c r="D226" s="181"/>
      <c r="E226" s="177"/>
      <c r="F226" s="181"/>
      <c r="G226" s="177"/>
      <c r="H226" s="181">
        <f t="shared" si="49"/>
        <v>0</v>
      </c>
      <c r="I226" s="249"/>
      <c r="J226" s="249"/>
      <c r="K226" s="178"/>
      <c r="L226" s="179"/>
      <c r="M226" s="178"/>
      <c r="N226" s="250"/>
      <c r="O226" s="178"/>
      <c r="P226" s="179"/>
      <c r="Q226" s="179"/>
      <c r="R226" s="179"/>
      <c r="S226" s="179"/>
      <c r="T226" s="179"/>
      <c r="U226" s="179"/>
      <c r="V226" s="179"/>
      <c r="W226" s="179"/>
      <c r="X226" s="179"/>
      <c r="Y226" s="133"/>
      <c r="Z226" s="133"/>
      <c r="AA226" s="179"/>
      <c r="AB226" s="179"/>
      <c r="AC226" s="120">
        <f t="shared" si="53"/>
        <v>0</v>
      </c>
      <c r="AD226" s="120">
        <f t="shared" si="53"/>
        <v>0</v>
      </c>
      <c r="AE226" s="181"/>
      <c r="AF226" s="236">
        <f t="shared" si="51"/>
        <v>0</v>
      </c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345"/>
    </row>
    <row r="227" spans="1:48" ht="40.5" customHeight="1" hidden="1">
      <c r="A227" s="313">
        <v>5942</v>
      </c>
      <c r="B227" s="344" t="s">
        <v>459</v>
      </c>
      <c r="C227" s="133">
        <v>-16599</v>
      </c>
      <c r="D227" s="181"/>
      <c r="E227" s="177"/>
      <c r="F227" s="181">
        <v>-4768</v>
      </c>
      <c r="G227" s="177" t="s">
        <v>455</v>
      </c>
      <c r="H227" s="181">
        <f t="shared" si="49"/>
        <v>-11831</v>
      </c>
      <c r="I227" s="294"/>
      <c r="J227" s="249"/>
      <c r="K227" s="178"/>
      <c r="L227" s="178"/>
      <c r="M227" s="178"/>
      <c r="N227" s="250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33"/>
      <c r="Z227" s="133"/>
      <c r="AA227" s="178"/>
      <c r="AB227" s="178"/>
      <c r="AC227" s="120">
        <f t="shared" si="53"/>
        <v>0</v>
      </c>
      <c r="AD227" s="120">
        <f t="shared" si="53"/>
        <v>0</v>
      </c>
      <c r="AE227" s="181"/>
      <c r="AF227" s="236">
        <f t="shared" si="51"/>
        <v>-11831</v>
      </c>
      <c r="AG227" s="227"/>
      <c r="AH227" s="227"/>
      <c r="AI227" s="227"/>
      <c r="AJ227" s="227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345"/>
    </row>
    <row r="228" spans="1:48" ht="40.5" customHeight="1" hidden="1">
      <c r="A228" s="313">
        <v>5943</v>
      </c>
      <c r="B228" s="344" t="s">
        <v>552</v>
      </c>
      <c r="C228" s="133">
        <v>-14450</v>
      </c>
      <c r="D228" s="181"/>
      <c r="E228" s="177"/>
      <c r="F228" s="181"/>
      <c r="G228" s="177"/>
      <c r="H228" s="181">
        <f t="shared" si="49"/>
        <v>-14450</v>
      </c>
      <c r="I228" s="294"/>
      <c r="J228" s="249"/>
      <c r="K228" s="178"/>
      <c r="L228" s="178"/>
      <c r="M228" s="178"/>
      <c r="N228" s="250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33"/>
      <c r="Z228" s="133"/>
      <c r="AA228" s="178"/>
      <c r="AB228" s="178"/>
      <c r="AC228" s="120">
        <f t="shared" si="53"/>
        <v>0</v>
      </c>
      <c r="AD228" s="120">
        <f t="shared" si="53"/>
        <v>0</v>
      </c>
      <c r="AE228" s="181"/>
      <c r="AF228" s="236">
        <f t="shared" si="51"/>
        <v>-14450</v>
      </c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345"/>
    </row>
    <row r="229" spans="1:48" ht="17.25" customHeight="1">
      <c r="A229" s="333"/>
      <c r="B229" s="347" t="s">
        <v>466</v>
      </c>
      <c r="C229" s="119">
        <v>-842980</v>
      </c>
      <c r="D229" s="236">
        <f>SUM(D230:D236)</f>
        <v>0</v>
      </c>
      <c r="E229" s="295"/>
      <c r="F229" s="236">
        <f>SUM(F230:F236)</f>
        <v>0</v>
      </c>
      <c r="G229" s="295"/>
      <c r="H229" s="180">
        <f>C229+D229-F229</f>
        <v>-842980</v>
      </c>
      <c r="I229" s="272">
        <f aca="true" t="shared" si="54" ref="I229:AB229">SUM(I230:I236)</f>
        <v>-33982</v>
      </c>
      <c r="J229" s="272">
        <f t="shared" si="54"/>
        <v>0</v>
      </c>
      <c r="K229" s="272">
        <f t="shared" si="54"/>
        <v>0</v>
      </c>
      <c r="L229" s="272">
        <f t="shared" si="54"/>
        <v>0</v>
      </c>
      <c r="M229" s="272">
        <f t="shared" si="54"/>
        <v>-16057</v>
      </c>
      <c r="N229" s="272">
        <f t="shared" si="54"/>
        <v>0</v>
      </c>
      <c r="O229" s="272">
        <f t="shared" si="54"/>
        <v>0</v>
      </c>
      <c r="P229" s="272">
        <f t="shared" si="54"/>
        <v>0</v>
      </c>
      <c r="Q229" s="272">
        <f t="shared" si="54"/>
        <v>-4134</v>
      </c>
      <c r="R229" s="272">
        <f t="shared" si="54"/>
        <v>0</v>
      </c>
      <c r="S229" s="272">
        <f t="shared" si="54"/>
        <v>0</v>
      </c>
      <c r="T229" s="272">
        <f t="shared" si="54"/>
        <v>0</v>
      </c>
      <c r="U229" s="272">
        <f t="shared" si="54"/>
        <v>0</v>
      </c>
      <c r="V229" s="272">
        <f t="shared" si="54"/>
        <v>0</v>
      </c>
      <c r="W229" s="272">
        <f t="shared" si="54"/>
        <v>0</v>
      </c>
      <c r="X229" s="272">
        <f t="shared" si="54"/>
        <v>0</v>
      </c>
      <c r="Y229" s="272">
        <f t="shared" si="54"/>
        <v>-646</v>
      </c>
      <c r="Z229" s="272">
        <f t="shared" si="54"/>
        <v>0</v>
      </c>
      <c r="AA229" s="272">
        <f t="shared" si="54"/>
        <v>0</v>
      </c>
      <c r="AB229" s="272">
        <f t="shared" si="54"/>
        <v>0</v>
      </c>
      <c r="AC229" s="120">
        <f t="shared" si="53"/>
        <v>-54819</v>
      </c>
      <c r="AD229" s="120">
        <f t="shared" si="53"/>
        <v>0</v>
      </c>
      <c r="AE229" s="236">
        <f>SUM(AE230:AE236)</f>
        <v>0</v>
      </c>
      <c r="AF229" s="236">
        <f t="shared" si="51"/>
        <v>-897799</v>
      </c>
      <c r="AG229" s="227"/>
      <c r="AH229" s="227"/>
      <c r="AI229" s="227"/>
      <c r="AJ229" s="227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345">
        <v>-562821</v>
      </c>
    </row>
    <row r="230" spans="1:48" ht="28.5" customHeight="1" hidden="1">
      <c r="A230" s="313">
        <v>5781</v>
      </c>
      <c r="B230" s="344" t="s">
        <v>467</v>
      </c>
      <c r="C230" s="133">
        <v>-157887</v>
      </c>
      <c r="D230" s="181"/>
      <c r="E230" s="177"/>
      <c r="F230" s="181"/>
      <c r="G230" s="177"/>
      <c r="H230" s="181">
        <f aca="true" t="shared" si="55" ref="H230:H236">C230+D230-F230</f>
        <v>-157887</v>
      </c>
      <c r="I230" s="234">
        <v>-2879</v>
      </c>
      <c r="J230" s="249"/>
      <c r="K230" s="178"/>
      <c r="L230" s="179"/>
      <c r="M230" s="178">
        <v>-1</v>
      </c>
      <c r="N230" s="250"/>
      <c r="O230" s="178"/>
      <c r="P230" s="179"/>
      <c r="Q230" s="179">
        <v>-5</v>
      </c>
      <c r="R230" s="179"/>
      <c r="S230" s="179"/>
      <c r="T230" s="179"/>
      <c r="U230" s="179"/>
      <c r="V230" s="179"/>
      <c r="W230" s="179"/>
      <c r="X230" s="179"/>
      <c r="Y230" s="133"/>
      <c r="Z230" s="133"/>
      <c r="AA230" s="179"/>
      <c r="AB230" s="179"/>
      <c r="AC230" s="120">
        <f t="shared" si="53"/>
        <v>-2885</v>
      </c>
      <c r="AD230" s="120">
        <f t="shared" si="53"/>
        <v>0</v>
      </c>
      <c r="AE230" s="120"/>
      <c r="AF230" s="236">
        <f t="shared" si="51"/>
        <v>-160772</v>
      </c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345"/>
    </row>
    <row r="231" spans="1:48" ht="28.5" customHeight="1" hidden="1">
      <c r="A231" s="313">
        <v>5782</v>
      </c>
      <c r="B231" s="344" t="s">
        <v>468</v>
      </c>
      <c r="C231" s="133">
        <v>-163034</v>
      </c>
      <c r="D231" s="181"/>
      <c r="E231" s="177"/>
      <c r="F231" s="181"/>
      <c r="G231" s="177"/>
      <c r="H231" s="181">
        <f t="shared" si="55"/>
        <v>-163034</v>
      </c>
      <c r="I231" s="234">
        <v>-9463</v>
      </c>
      <c r="J231" s="249"/>
      <c r="K231" s="178"/>
      <c r="L231" s="179"/>
      <c r="M231" s="178">
        <v>-10124</v>
      </c>
      <c r="N231" s="250"/>
      <c r="O231" s="178"/>
      <c r="P231" s="179"/>
      <c r="Q231" s="179">
        <v>-1745</v>
      </c>
      <c r="R231" s="179"/>
      <c r="S231" s="179"/>
      <c r="T231" s="179"/>
      <c r="U231" s="179"/>
      <c r="V231" s="179"/>
      <c r="W231" s="179"/>
      <c r="X231" s="179"/>
      <c r="Y231" s="133">
        <f>-220</f>
        <v>-220</v>
      </c>
      <c r="Z231" s="133"/>
      <c r="AA231" s="179"/>
      <c r="AB231" s="179"/>
      <c r="AC231" s="120">
        <f t="shared" si="53"/>
        <v>-21552</v>
      </c>
      <c r="AD231" s="120">
        <f t="shared" si="53"/>
        <v>0</v>
      </c>
      <c r="AE231" s="120"/>
      <c r="AF231" s="236">
        <f t="shared" si="51"/>
        <v>-184586</v>
      </c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345"/>
    </row>
    <row r="232" spans="1:48" ht="28.5" customHeight="1" hidden="1">
      <c r="A232" s="313">
        <v>5783</v>
      </c>
      <c r="B232" s="344" t="s">
        <v>469</v>
      </c>
      <c r="C232" s="133">
        <v>-216270</v>
      </c>
      <c r="D232" s="181"/>
      <c r="E232" s="177"/>
      <c r="F232" s="181"/>
      <c r="G232" s="177"/>
      <c r="H232" s="181">
        <f t="shared" si="55"/>
        <v>-216270</v>
      </c>
      <c r="I232" s="234">
        <v>-13344</v>
      </c>
      <c r="J232" s="249"/>
      <c r="K232" s="178"/>
      <c r="L232" s="179"/>
      <c r="M232" s="178">
        <v>-2033</v>
      </c>
      <c r="N232" s="250"/>
      <c r="O232" s="178"/>
      <c r="P232" s="179"/>
      <c r="Q232" s="179">
        <v>-993</v>
      </c>
      <c r="R232" s="179"/>
      <c r="S232" s="179"/>
      <c r="T232" s="179"/>
      <c r="U232" s="179"/>
      <c r="V232" s="179"/>
      <c r="W232" s="179"/>
      <c r="X232" s="179"/>
      <c r="Y232" s="133">
        <f>-123</f>
        <v>-123</v>
      </c>
      <c r="Z232" s="133"/>
      <c r="AA232" s="179"/>
      <c r="AB232" s="179"/>
      <c r="AC232" s="120">
        <f t="shared" si="53"/>
        <v>-16493</v>
      </c>
      <c r="AD232" s="120">
        <f t="shared" si="53"/>
        <v>0</v>
      </c>
      <c r="AE232" s="120"/>
      <c r="AF232" s="236">
        <f t="shared" si="51"/>
        <v>-232763</v>
      </c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345"/>
    </row>
    <row r="233" spans="1:48" ht="39.75" customHeight="1" hidden="1">
      <c r="A233" s="313">
        <v>5785</v>
      </c>
      <c r="B233" s="344" t="s">
        <v>470</v>
      </c>
      <c r="C233" s="133">
        <v>-268</v>
      </c>
      <c r="D233" s="181"/>
      <c r="E233" s="177"/>
      <c r="F233" s="181"/>
      <c r="G233" s="177"/>
      <c r="H233" s="181">
        <f t="shared" si="55"/>
        <v>-268</v>
      </c>
      <c r="I233" s="234"/>
      <c r="J233" s="249"/>
      <c r="K233" s="178"/>
      <c r="L233" s="178"/>
      <c r="M233" s="178"/>
      <c r="N233" s="250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33"/>
      <c r="Z233" s="133"/>
      <c r="AA233" s="178"/>
      <c r="AB233" s="178"/>
      <c r="AC233" s="120">
        <f t="shared" si="53"/>
        <v>0</v>
      </c>
      <c r="AD233" s="120">
        <f t="shared" si="53"/>
        <v>0</v>
      </c>
      <c r="AE233" s="120"/>
      <c r="AF233" s="236">
        <f t="shared" si="51"/>
        <v>-268</v>
      </c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345"/>
    </row>
    <row r="234" spans="1:48" ht="40.5" customHeight="1" hidden="1">
      <c r="A234" s="313">
        <v>5786</v>
      </c>
      <c r="B234" s="344" t="s">
        <v>471</v>
      </c>
      <c r="C234" s="133">
        <v>-33790</v>
      </c>
      <c r="D234" s="181"/>
      <c r="E234" s="177"/>
      <c r="F234" s="181"/>
      <c r="G234" s="177"/>
      <c r="H234" s="181">
        <f t="shared" si="55"/>
        <v>-33790</v>
      </c>
      <c r="I234" s="234">
        <v>-578</v>
      </c>
      <c r="J234" s="249"/>
      <c r="K234" s="178"/>
      <c r="L234" s="179"/>
      <c r="M234" s="178"/>
      <c r="N234" s="250"/>
      <c r="O234" s="178"/>
      <c r="P234" s="179"/>
      <c r="Q234" s="179"/>
      <c r="R234" s="179"/>
      <c r="S234" s="179"/>
      <c r="T234" s="179"/>
      <c r="U234" s="179"/>
      <c r="V234" s="179"/>
      <c r="W234" s="179"/>
      <c r="X234" s="179"/>
      <c r="Y234" s="133"/>
      <c r="Z234" s="133"/>
      <c r="AA234" s="179"/>
      <c r="AB234" s="179"/>
      <c r="AC234" s="120">
        <f t="shared" si="53"/>
        <v>-578</v>
      </c>
      <c r="AD234" s="120">
        <f t="shared" si="53"/>
        <v>0</v>
      </c>
      <c r="AE234" s="120"/>
      <c r="AF234" s="236">
        <f t="shared" si="51"/>
        <v>-34368</v>
      </c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345"/>
    </row>
    <row r="235" spans="1:48" ht="28.5" customHeight="1" hidden="1">
      <c r="A235" s="313">
        <v>5787</v>
      </c>
      <c r="B235" s="344" t="s">
        <v>472</v>
      </c>
      <c r="C235" s="133">
        <v>-96339</v>
      </c>
      <c r="D235" s="181"/>
      <c r="E235" s="177"/>
      <c r="F235" s="181"/>
      <c r="G235" s="177"/>
      <c r="H235" s="181">
        <f t="shared" si="55"/>
        <v>-96339</v>
      </c>
      <c r="I235" s="234">
        <v>-3253</v>
      </c>
      <c r="J235" s="249"/>
      <c r="K235" s="178"/>
      <c r="L235" s="179"/>
      <c r="M235" s="178">
        <v>-2802</v>
      </c>
      <c r="N235" s="250"/>
      <c r="O235" s="178"/>
      <c r="P235" s="179"/>
      <c r="Q235" s="179">
        <v>-1391</v>
      </c>
      <c r="R235" s="179"/>
      <c r="S235" s="179"/>
      <c r="T235" s="179"/>
      <c r="U235" s="179"/>
      <c r="V235" s="179"/>
      <c r="W235" s="179"/>
      <c r="X235" s="179"/>
      <c r="Y235" s="133">
        <f>-164</f>
        <v>-164</v>
      </c>
      <c r="Z235" s="133"/>
      <c r="AA235" s="179"/>
      <c r="AB235" s="179"/>
      <c r="AC235" s="120">
        <f t="shared" si="53"/>
        <v>-7610</v>
      </c>
      <c r="AD235" s="120">
        <f t="shared" si="53"/>
        <v>0</v>
      </c>
      <c r="AE235" s="120"/>
      <c r="AF235" s="236">
        <f t="shared" si="51"/>
        <v>-103949</v>
      </c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345"/>
    </row>
    <row r="236" spans="1:48" ht="28.5" customHeight="1" hidden="1">
      <c r="A236" s="313">
        <v>5788</v>
      </c>
      <c r="B236" s="344" t="s">
        <v>473</v>
      </c>
      <c r="C236" s="133">
        <v>-175378</v>
      </c>
      <c r="D236" s="181"/>
      <c r="E236" s="177"/>
      <c r="F236" s="181"/>
      <c r="G236" s="177"/>
      <c r="H236" s="181">
        <f t="shared" si="55"/>
        <v>-175378</v>
      </c>
      <c r="I236" s="257">
        <v>-4465</v>
      </c>
      <c r="J236" s="249"/>
      <c r="K236" s="178"/>
      <c r="L236" s="179"/>
      <c r="M236" s="178">
        <v>-1097</v>
      </c>
      <c r="N236" s="250"/>
      <c r="O236" s="178"/>
      <c r="P236" s="179"/>
      <c r="Q236" s="179"/>
      <c r="R236" s="179"/>
      <c r="S236" s="179"/>
      <c r="T236" s="179"/>
      <c r="U236" s="179"/>
      <c r="V236" s="179"/>
      <c r="W236" s="179"/>
      <c r="X236" s="179"/>
      <c r="Y236" s="133">
        <f>-139</f>
        <v>-139</v>
      </c>
      <c r="Z236" s="133"/>
      <c r="AA236" s="179"/>
      <c r="AB236" s="179"/>
      <c r="AC236" s="120">
        <f t="shared" si="53"/>
        <v>-5701</v>
      </c>
      <c r="AD236" s="120">
        <f t="shared" si="53"/>
        <v>0</v>
      </c>
      <c r="AE236" s="120"/>
      <c r="AF236" s="236">
        <f t="shared" si="51"/>
        <v>-181079</v>
      </c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345"/>
    </row>
    <row r="237" spans="1:48" ht="22.5" customHeight="1">
      <c r="A237" s="334"/>
      <c r="B237" s="350" t="s">
        <v>513</v>
      </c>
      <c r="C237" s="296">
        <v>-2202661</v>
      </c>
      <c r="D237" s="296">
        <f>SUM(D238:D243)</f>
        <v>0</v>
      </c>
      <c r="E237" s="256"/>
      <c r="F237" s="296">
        <f>SUM(F238:F243)</f>
        <v>0</v>
      </c>
      <c r="G237" s="256"/>
      <c r="H237" s="180">
        <f>C237+D237-F237</f>
        <v>-2202661</v>
      </c>
      <c r="I237" s="297">
        <f aca="true" t="shared" si="56" ref="I237:AB237">SUM(I238:I243)</f>
        <v>-18702</v>
      </c>
      <c r="J237" s="297">
        <f t="shared" si="56"/>
        <v>0</v>
      </c>
      <c r="K237" s="297">
        <f t="shared" si="56"/>
        <v>0</v>
      </c>
      <c r="L237" s="297">
        <f t="shared" si="56"/>
        <v>0</v>
      </c>
      <c r="M237" s="297">
        <f t="shared" si="56"/>
        <v>-17690</v>
      </c>
      <c r="N237" s="297">
        <f t="shared" si="56"/>
        <v>0</v>
      </c>
      <c r="O237" s="297">
        <f t="shared" si="56"/>
        <v>0</v>
      </c>
      <c r="P237" s="297">
        <f t="shared" si="56"/>
        <v>0</v>
      </c>
      <c r="Q237" s="297">
        <f t="shared" si="56"/>
        <v>-9298</v>
      </c>
      <c r="R237" s="297">
        <f t="shared" si="56"/>
        <v>0</v>
      </c>
      <c r="S237" s="297">
        <f t="shared" si="56"/>
        <v>0</v>
      </c>
      <c r="T237" s="297">
        <f t="shared" si="56"/>
        <v>0</v>
      </c>
      <c r="U237" s="297">
        <f t="shared" si="56"/>
        <v>0</v>
      </c>
      <c r="V237" s="297">
        <f t="shared" si="56"/>
        <v>0</v>
      </c>
      <c r="W237" s="297">
        <f t="shared" si="56"/>
        <v>0</v>
      </c>
      <c r="X237" s="297">
        <f t="shared" si="56"/>
        <v>0</v>
      </c>
      <c r="Y237" s="297">
        <f t="shared" si="56"/>
        <v>-99</v>
      </c>
      <c r="Z237" s="297">
        <f t="shared" si="56"/>
        <v>0</v>
      </c>
      <c r="AA237" s="297">
        <f t="shared" si="56"/>
        <v>0</v>
      </c>
      <c r="AB237" s="297">
        <f t="shared" si="56"/>
        <v>0</v>
      </c>
      <c r="AC237" s="120">
        <f t="shared" si="53"/>
        <v>-45789</v>
      </c>
      <c r="AD237" s="120">
        <f t="shared" si="53"/>
        <v>0</v>
      </c>
      <c r="AE237" s="296">
        <f>SUM(AE238:AE243)</f>
        <v>0</v>
      </c>
      <c r="AF237" s="236">
        <f t="shared" si="51"/>
        <v>-2248450</v>
      </c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345">
        <v>-1392851</v>
      </c>
    </row>
    <row r="238" spans="1:48" ht="28.5" customHeight="1" hidden="1">
      <c r="A238" s="313">
        <v>5761</v>
      </c>
      <c r="B238" s="344" t="s">
        <v>460</v>
      </c>
      <c r="C238" s="133">
        <v>-340431</v>
      </c>
      <c r="D238" s="181"/>
      <c r="E238" s="177"/>
      <c r="F238" s="181"/>
      <c r="G238" s="177"/>
      <c r="H238" s="181">
        <f aca="true" t="shared" si="57" ref="H238:H249">C238+D238-F238</f>
        <v>-340431</v>
      </c>
      <c r="I238" s="234"/>
      <c r="J238" s="249"/>
      <c r="K238" s="178"/>
      <c r="L238" s="179"/>
      <c r="M238" s="178"/>
      <c r="N238" s="250"/>
      <c r="O238" s="178"/>
      <c r="P238" s="179"/>
      <c r="Q238" s="179">
        <v>-8036</v>
      </c>
      <c r="R238" s="179"/>
      <c r="S238" s="179"/>
      <c r="T238" s="179"/>
      <c r="U238" s="179"/>
      <c r="V238" s="179"/>
      <c r="W238" s="179"/>
      <c r="X238" s="179"/>
      <c r="Y238" s="133"/>
      <c r="Z238" s="133"/>
      <c r="AA238" s="179"/>
      <c r="AB238" s="179"/>
      <c r="AC238" s="120">
        <f t="shared" si="53"/>
        <v>-8036</v>
      </c>
      <c r="AD238" s="120">
        <f t="shared" si="53"/>
        <v>0</v>
      </c>
      <c r="AE238" s="120"/>
      <c r="AF238" s="236">
        <f t="shared" si="51"/>
        <v>-348467</v>
      </c>
      <c r="AG238" s="227"/>
      <c r="AH238" s="227"/>
      <c r="AI238" s="227"/>
      <c r="AJ238" s="227"/>
      <c r="AK238" s="227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345"/>
    </row>
    <row r="239" spans="1:48" ht="28.5" customHeight="1" hidden="1">
      <c r="A239" s="313">
        <v>5764</v>
      </c>
      <c r="B239" s="344" t="s">
        <v>461</v>
      </c>
      <c r="C239" s="133">
        <v>-1163</v>
      </c>
      <c r="D239" s="181"/>
      <c r="E239" s="177"/>
      <c r="F239" s="181"/>
      <c r="G239" s="177"/>
      <c r="H239" s="181">
        <f t="shared" si="57"/>
        <v>-1163</v>
      </c>
      <c r="I239" s="234">
        <v>-118</v>
      </c>
      <c r="J239" s="249"/>
      <c r="K239" s="178"/>
      <c r="L239" s="178"/>
      <c r="M239" s="178"/>
      <c r="N239" s="250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33"/>
      <c r="Z239" s="133"/>
      <c r="AA239" s="178"/>
      <c r="AB239" s="178"/>
      <c r="AC239" s="120">
        <f t="shared" si="53"/>
        <v>-118</v>
      </c>
      <c r="AD239" s="120">
        <f t="shared" si="53"/>
        <v>0</v>
      </c>
      <c r="AE239" s="120"/>
      <c r="AF239" s="236">
        <f t="shared" si="51"/>
        <v>-1281</v>
      </c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345"/>
    </row>
    <row r="240" spans="1:48" ht="28.5" customHeight="1" hidden="1">
      <c r="A240" s="313">
        <v>5765</v>
      </c>
      <c r="B240" s="344" t="s">
        <v>462</v>
      </c>
      <c r="C240" s="133">
        <v>-68457</v>
      </c>
      <c r="D240" s="181"/>
      <c r="E240" s="177"/>
      <c r="F240" s="181"/>
      <c r="G240" s="177"/>
      <c r="H240" s="181">
        <f t="shared" si="57"/>
        <v>-68457</v>
      </c>
      <c r="I240" s="234"/>
      <c r="J240" s="249"/>
      <c r="K240" s="178"/>
      <c r="L240" s="178"/>
      <c r="M240" s="178">
        <v>-332</v>
      </c>
      <c r="N240" s="250"/>
      <c r="O240" s="178"/>
      <c r="P240" s="178"/>
      <c r="Q240" s="178">
        <v>-162</v>
      </c>
      <c r="R240" s="178"/>
      <c r="S240" s="178"/>
      <c r="T240" s="178"/>
      <c r="U240" s="178"/>
      <c r="V240" s="178"/>
      <c r="W240" s="178"/>
      <c r="X240" s="178"/>
      <c r="Y240" s="133">
        <f>-53</f>
        <v>-53</v>
      </c>
      <c r="Z240" s="133"/>
      <c r="AA240" s="178"/>
      <c r="AB240" s="178"/>
      <c r="AC240" s="120">
        <f t="shared" si="53"/>
        <v>-547</v>
      </c>
      <c r="AD240" s="120">
        <f t="shared" si="53"/>
        <v>0</v>
      </c>
      <c r="AE240" s="120"/>
      <c r="AF240" s="236">
        <f t="shared" si="51"/>
        <v>-69004</v>
      </c>
      <c r="AG240" s="227"/>
      <c r="AH240" s="227"/>
      <c r="AI240" s="227"/>
      <c r="AJ240" s="227"/>
      <c r="AK240" s="227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345"/>
    </row>
    <row r="241" spans="1:48" ht="28.5" customHeight="1" hidden="1">
      <c r="A241" s="313">
        <v>5766</v>
      </c>
      <c r="B241" s="344" t="s">
        <v>463</v>
      </c>
      <c r="C241" s="133">
        <v>-4427</v>
      </c>
      <c r="D241" s="181"/>
      <c r="E241" s="177"/>
      <c r="F241" s="181"/>
      <c r="G241" s="177"/>
      <c r="H241" s="181">
        <f t="shared" si="57"/>
        <v>-4427</v>
      </c>
      <c r="I241" s="234"/>
      <c r="J241" s="249"/>
      <c r="K241" s="178"/>
      <c r="L241" s="178"/>
      <c r="M241" s="178">
        <f>-3109-110</f>
        <v>-3219</v>
      </c>
      <c r="N241" s="250"/>
      <c r="O241" s="178"/>
      <c r="P241" s="178"/>
      <c r="Q241" s="178">
        <v>-5</v>
      </c>
      <c r="R241" s="178"/>
      <c r="S241" s="178"/>
      <c r="T241" s="178"/>
      <c r="U241" s="178"/>
      <c r="V241" s="178"/>
      <c r="W241" s="178"/>
      <c r="X241" s="178"/>
      <c r="Y241" s="133">
        <f>-30</f>
        <v>-30</v>
      </c>
      <c r="Z241" s="133"/>
      <c r="AA241" s="178"/>
      <c r="AB241" s="178"/>
      <c r="AC241" s="120">
        <f t="shared" si="53"/>
        <v>-3254</v>
      </c>
      <c r="AD241" s="120">
        <f t="shared" si="53"/>
        <v>0</v>
      </c>
      <c r="AE241" s="120"/>
      <c r="AF241" s="236">
        <f t="shared" si="51"/>
        <v>-7681</v>
      </c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345"/>
    </row>
    <row r="242" spans="1:48" ht="28.5" customHeight="1" hidden="1">
      <c r="A242" s="313">
        <v>5767</v>
      </c>
      <c r="B242" s="344" t="s">
        <v>464</v>
      </c>
      <c r="C242" s="133">
        <v>-13584</v>
      </c>
      <c r="D242" s="181"/>
      <c r="E242" s="177"/>
      <c r="F242" s="181"/>
      <c r="G242" s="177"/>
      <c r="H242" s="181">
        <f t="shared" si="57"/>
        <v>-13584</v>
      </c>
      <c r="I242" s="234"/>
      <c r="J242" s="249"/>
      <c r="K242" s="178"/>
      <c r="L242" s="178"/>
      <c r="M242" s="178"/>
      <c r="N242" s="250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33"/>
      <c r="Z242" s="133"/>
      <c r="AA242" s="178"/>
      <c r="AB242" s="178"/>
      <c r="AC242" s="120">
        <f t="shared" si="53"/>
        <v>0</v>
      </c>
      <c r="AD242" s="120">
        <f t="shared" si="53"/>
        <v>0</v>
      </c>
      <c r="AE242" s="120"/>
      <c r="AF242" s="236">
        <f t="shared" si="51"/>
        <v>-13584</v>
      </c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345"/>
    </row>
    <row r="243" spans="1:48" ht="28.5" customHeight="1" hidden="1">
      <c r="A243" s="313">
        <v>5768</v>
      </c>
      <c r="B243" s="344" t="s">
        <v>465</v>
      </c>
      <c r="C243" s="133">
        <v>-1700434</v>
      </c>
      <c r="D243" s="181"/>
      <c r="E243" s="177"/>
      <c r="F243" s="181"/>
      <c r="G243" s="177"/>
      <c r="H243" s="181">
        <f t="shared" si="57"/>
        <v>-1700434</v>
      </c>
      <c r="I243" s="257">
        <v>-18584</v>
      </c>
      <c r="J243" s="249"/>
      <c r="K243" s="178"/>
      <c r="L243" s="179"/>
      <c r="M243" s="178">
        <f>-9-13187-819-124</f>
        <v>-14139</v>
      </c>
      <c r="N243" s="250"/>
      <c r="O243" s="178"/>
      <c r="P243" s="179"/>
      <c r="Q243" s="179">
        <v>-1095</v>
      </c>
      <c r="R243" s="179"/>
      <c r="S243" s="179"/>
      <c r="T243" s="179"/>
      <c r="U243" s="179"/>
      <c r="V243" s="179"/>
      <c r="W243" s="179"/>
      <c r="X243" s="179"/>
      <c r="Y243" s="133">
        <f>-16</f>
        <v>-16</v>
      </c>
      <c r="Z243" s="133"/>
      <c r="AA243" s="179"/>
      <c r="AB243" s="179"/>
      <c r="AC243" s="120">
        <f t="shared" si="53"/>
        <v>-33834</v>
      </c>
      <c r="AD243" s="120">
        <f t="shared" si="53"/>
        <v>0</v>
      </c>
      <c r="AE243" s="120"/>
      <c r="AF243" s="236">
        <f t="shared" si="51"/>
        <v>-1734268</v>
      </c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345"/>
    </row>
    <row r="244" spans="1:48" ht="18" customHeight="1">
      <c r="A244" s="335"/>
      <c r="B244" s="350" t="s">
        <v>514</v>
      </c>
      <c r="C244" s="296">
        <v>-132758</v>
      </c>
      <c r="D244" s="296">
        <f>SUM(D245:D249)</f>
        <v>0</v>
      </c>
      <c r="E244" s="296"/>
      <c r="F244" s="296">
        <f>SUM(F245:F249)</f>
        <v>0</v>
      </c>
      <c r="G244" s="256"/>
      <c r="H244" s="180">
        <f t="shared" si="57"/>
        <v>-132758</v>
      </c>
      <c r="I244" s="296">
        <f aca="true" t="shared" si="58" ref="I244:AB244">SUM(I245:I249)</f>
        <v>-11472</v>
      </c>
      <c r="J244" s="296">
        <f t="shared" si="58"/>
        <v>0</v>
      </c>
      <c r="K244" s="296">
        <f t="shared" si="58"/>
        <v>0</v>
      </c>
      <c r="L244" s="296">
        <f t="shared" si="58"/>
        <v>0</v>
      </c>
      <c r="M244" s="296">
        <f t="shared" si="58"/>
        <v>-33941</v>
      </c>
      <c r="N244" s="296">
        <f t="shared" si="58"/>
        <v>0</v>
      </c>
      <c r="O244" s="296">
        <f t="shared" si="58"/>
        <v>0</v>
      </c>
      <c r="P244" s="296">
        <f t="shared" si="58"/>
        <v>0</v>
      </c>
      <c r="Q244" s="296">
        <f t="shared" si="58"/>
        <v>-1721</v>
      </c>
      <c r="R244" s="296">
        <f t="shared" si="58"/>
        <v>0</v>
      </c>
      <c r="S244" s="296">
        <f t="shared" si="58"/>
        <v>0</v>
      </c>
      <c r="T244" s="296">
        <f t="shared" si="58"/>
        <v>0</v>
      </c>
      <c r="U244" s="296">
        <f t="shared" si="58"/>
        <v>0</v>
      </c>
      <c r="V244" s="296">
        <f t="shared" si="58"/>
        <v>0</v>
      </c>
      <c r="W244" s="296">
        <f t="shared" si="58"/>
        <v>0</v>
      </c>
      <c r="X244" s="296">
        <f t="shared" si="58"/>
        <v>0</v>
      </c>
      <c r="Y244" s="296">
        <f t="shared" si="58"/>
        <v>0</v>
      </c>
      <c r="Z244" s="296">
        <f t="shared" si="58"/>
        <v>0</v>
      </c>
      <c r="AA244" s="296">
        <f t="shared" si="58"/>
        <v>0</v>
      </c>
      <c r="AB244" s="296">
        <f t="shared" si="58"/>
        <v>0</v>
      </c>
      <c r="AC244" s="120">
        <f t="shared" si="53"/>
        <v>-47134</v>
      </c>
      <c r="AD244" s="120">
        <f t="shared" si="53"/>
        <v>0</v>
      </c>
      <c r="AE244" s="296">
        <f>SUM(AE245:AE247)</f>
        <v>0</v>
      </c>
      <c r="AF244" s="236">
        <f t="shared" si="51"/>
        <v>-179892</v>
      </c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345">
        <v>-385011</v>
      </c>
    </row>
    <row r="245" spans="1:55" ht="39.75" customHeight="1" hidden="1">
      <c r="A245" s="323">
        <v>5451</v>
      </c>
      <c r="B245" s="348" t="s">
        <v>530</v>
      </c>
      <c r="C245" s="8"/>
      <c r="D245" s="93"/>
      <c r="E245" s="94"/>
      <c r="F245" s="95"/>
      <c r="G245" s="94"/>
      <c r="H245" s="4">
        <f t="shared" si="57"/>
        <v>0</v>
      </c>
      <c r="I245" s="241"/>
      <c r="J245" s="268"/>
      <c r="K245" s="21"/>
      <c r="L245" s="21"/>
      <c r="M245" s="21"/>
      <c r="N245" s="21"/>
      <c r="O245" s="21"/>
      <c r="P245" s="21"/>
      <c r="Q245" s="95"/>
      <c r="R245" s="95"/>
      <c r="S245" s="21"/>
      <c r="T245" s="21"/>
      <c r="U245" s="21"/>
      <c r="V245" s="21"/>
      <c r="W245" s="21"/>
      <c r="X245" s="21"/>
      <c r="Y245" s="95"/>
      <c r="Z245" s="95"/>
      <c r="AA245" s="21"/>
      <c r="AB245" s="21"/>
      <c r="AC245" s="3">
        <f t="shared" si="53"/>
        <v>0</v>
      </c>
      <c r="AD245" s="3">
        <f t="shared" si="53"/>
        <v>0</v>
      </c>
      <c r="AE245" s="3"/>
      <c r="AF245" s="258">
        <f t="shared" si="51"/>
        <v>0</v>
      </c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349"/>
      <c r="AW245" s="138"/>
      <c r="AX245" s="138"/>
      <c r="AY245" s="138"/>
      <c r="AZ245" s="138"/>
      <c r="BA245" s="138"/>
      <c r="BB245" s="138"/>
      <c r="BC245" s="138"/>
    </row>
    <row r="246" spans="1:55" ht="33.75" customHeight="1" hidden="1">
      <c r="A246" s="323">
        <v>5462</v>
      </c>
      <c r="B246" s="348" t="s">
        <v>540</v>
      </c>
      <c r="C246" s="186"/>
      <c r="D246" s="93"/>
      <c r="E246" s="94"/>
      <c r="F246" s="95"/>
      <c r="G246" s="94"/>
      <c r="H246" s="4">
        <f t="shared" si="57"/>
        <v>0</v>
      </c>
      <c r="I246" s="241"/>
      <c r="J246" s="268"/>
      <c r="K246" s="21"/>
      <c r="L246" s="26"/>
      <c r="M246" s="21"/>
      <c r="N246" s="21"/>
      <c r="O246" s="21"/>
      <c r="P246" s="26"/>
      <c r="Q246" s="95"/>
      <c r="R246" s="95"/>
      <c r="S246" s="26"/>
      <c r="T246" s="26"/>
      <c r="U246" s="26"/>
      <c r="V246" s="26"/>
      <c r="W246" s="26"/>
      <c r="X246" s="26"/>
      <c r="Y246" s="8"/>
      <c r="Z246" s="8"/>
      <c r="AA246" s="26"/>
      <c r="AB246" s="26"/>
      <c r="AC246" s="3">
        <f t="shared" si="53"/>
        <v>0</v>
      </c>
      <c r="AD246" s="3">
        <f t="shared" si="53"/>
        <v>0</v>
      </c>
      <c r="AE246" s="3"/>
      <c r="AF246" s="258">
        <f t="shared" si="51"/>
        <v>0</v>
      </c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349"/>
      <c r="AW246" s="138"/>
      <c r="AX246" s="138"/>
      <c r="AY246" s="138"/>
      <c r="AZ246" s="138"/>
      <c r="BA246" s="138"/>
      <c r="BB246" s="138"/>
      <c r="BC246" s="138"/>
    </row>
    <row r="247" spans="1:48" ht="69.75" customHeight="1" hidden="1">
      <c r="A247" s="313">
        <v>5465</v>
      </c>
      <c r="B247" s="348" t="s">
        <v>404</v>
      </c>
      <c r="C247" s="8">
        <v>-234797</v>
      </c>
      <c r="D247" s="4"/>
      <c r="E247" s="68"/>
      <c r="F247" s="4"/>
      <c r="G247" s="68"/>
      <c r="H247" s="4">
        <f t="shared" si="57"/>
        <v>-234797</v>
      </c>
      <c r="I247" s="268">
        <v>-3549</v>
      </c>
      <c r="J247" s="240"/>
      <c r="K247" s="15"/>
      <c r="L247" s="15"/>
      <c r="M247" s="15"/>
      <c r="N247" s="244"/>
      <c r="O247" s="15"/>
      <c r="P247" s="15"/>
      <c r="Q247" s="95">
        <v>-900</v>
      </c>
      <c r="R247" s="95"/>
      <c r="S247" s="15"/>
      <c r="T247" s="15"/>
      <c r="U247" s="15"/>
      <c r="V247" s="15"/>
      <c r="W247" s="15"/>
      <c r="X247" s="15"/>
      <c r="Y247" s="8"/>
      <c r="Z247" s="8"/>
      <c r="AA247" s="15"/>
      <c r="AB247" s="15"/>
      <c r="AC247" s="3">
        <f t="shared" si="53"/>
        <v>-4449</v>
      </c>
      <c r="AD247" s="3">
        <f t="shared" si="53"/>
        <v>0</v>
      </c>
      <c r="AE247" s="3"/>
      <c r="AF247" s="258">
        <f t="shared" si="51"/>
        <v>-239246</v>
      </c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349"/>
    </row>
    <row r="248" spans="1:48" ht="45.75" customHeight="1" hidden="1">
      <c r="A248" s="313">
        <v>5453</v>
      </c>
      <c r="B248" s="348" t="s">
        <v>400</v>
      </c>
      <c r="C248" s="13">
        <v>24608</v>
      </c>
      <c r="D248" s="4"/>
      <c r="E248" s="68"/>
      <c r="F248" s="4"/>
      <c r="G248" s="68"/>
      <c r="H248" s="4">
        <f t="shared" si="57"/>
        <v>24608</v>
      </c>
      <c r="I248" s="241">
        <v>0</v>
      </c>
      <c r="J248" s="240"/>
      <c r="K248" s="15"/>
      <c r="L248" s="15"/>
      <c r="M248" s="15"/>
      <c r="N248" s="244"/>
      <c r="O248" s="15"/>
      <c r="P248" s="15"/>
      <c r="Q248" s="95"/>
      <c r="R248" s="95"/>
      <c r="S248" s="15"/>
      <c r="T248" s="15"/>
      <c r="U248" s="15"/>
      <c r="V248" s="15"/>
      <c r="W248" s="15"/>
      <c r="X248" s="15"/>
      <c r="Y248" s="8"/>
      <c r="Z248" s="8"/>
      <c r="AA248" s="15"/>
      <c r="AB248" s="15"/>
      <c r="AC248" s="3">
        <f t="shared" si="53"/>
        <v>0</v>
      </c>
      <c r="AD248" s="3">
        <f t="shared" si="53"/>
        <v>0</v>
      </c>
      <c r="AE248" s="3"/>
      <c r="AF248" s="258">
        <f t="shared" si="51"/>
        <v>24608</v>
      </c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349"/>
    </row>
    <row r="249" spans="1:48" ht="55.5" customHeight="1" hidden="1">
      <c r="A249" s="313">
        <v>5459</v>
      </c>
      <c r="B249" s="348" t="s">
        <v>403</v>
      </c>
      <c r="C249" s="13">
        <v>73211</v>
      </c>
      <c r="D249" s="4"/>
      <c r="E249" s="68"/>
      <c r="F249" s="4"/>
      <c r="G249" s="68"/>
      <c r="H249" s="4">
        <f t="shared" si="57"/>
        <v>73211</v>
      </c>
      <c r="I249" s="241">
        <v>-7923</v>
      </c>
      <c r="J249" s="241"/>
      <c r="K249" s="15"/>
      <c r="L249" s="15"/>
      <c r="M249" s="4">
        <f>-33866-75</f>
        <v>-33941</v>
      </c>
      <c r="N249" s="15"/>
      <c r="O249" s="15"/>
      <c r="P249" s="15"/>
      <c r="Q249" s="95">
        <v>-821</v>
      </c>
      <c r="R249" s="95"/>
      <c r="S249" s="15"/>
      <c r="T249" s="15"/>
      <c r="U249" s="15"/>
      <c r="V249" s="15"/>
      <c r="W249" s="15"/>
      <c r="X249" s="15"/>
      <c r="Y249" s="8"/>
      <c r="Z249" s="8"/>
      <c r="AA249" s="15"/>
      <c r="AB249" s="15"/>
      <c r="AC249" s="3">
        <f t="shared" si="53"/>
        <v>-42685</v>
      </c>
      <c r="AD249" s="3">
        <f t="shared" si="53"/>
        <v>0</v>
      </c>
      <c r="AE249" s="3"/>
      <c r="AF249" s="258">
        <f t="shared" si="51"/>
        <v>30526</v>
      </c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349"/>
    </row>
    <row r="250" spans="1:48" ht="23.25" customHeight="1">
      <c r="A250" s="336"/>
      <c r="B250" s="351" t="s">
        <v>515</v>
      </c>
      <c r="C250" s="298">
        <f>C244+C237+C229+C208+C203</f>
        <v>-10843247</v>
      </c>
      <c r="D250" s="299">
        <f>D244+D237+D229+D208+D203</f>
        <v>0</v>
      </c>
      <c r="E250" s="300"/>
      <c r="F250" s="299">
        <f>F244+F237+F229+F208+F203</f>
        <v>-14269</v>
      </c>
      <c r="G250" s="300"/>
      <c r="H250" s="299">
        <f aca="true" t="shared" si="59" ref="H250:X250">H244+H237+H229+H208+H203</f>
        <v>-10828978</v>
      </c>
      <c r="I250" s="299">
        <f t="shared" si="59"/>
        <v>-528541</v>
      </c>
      <c r="J250" s="299">
        <f t="shared" si="59"/>
        <v>0</v>
      </c>
      <c r="K250" s="299">
        <f t="shared" si="59"/>
        <v>0</v>
      </c>
      <c r="L250" s="299">
        <f t="shared" si="59"/>
        <v>0</v>
      </c>
      <c r="M250" s="301">
        <f t="shared" si="59"/>
        <v>-722424</v>
      </c>
      <c r="N250" s="301">
        <f t="shared" si="59"/>
        <v>0</v>
      </c>
      <c r="O250" s="301">
        <f t="shared" si="59"/>
        <v>0</v>
      </c>
      <c r="P250" s="301">
        <f t="shared" si="59"/>
        <v>0</v>
      </c>
      <c r="Q250" s="301">
        <f t="shared" si="59"/>
        <v>-163555</v>
      </c>
      <c r="R250" s="301">
        <f t="shared" si="59"/>
        <v>0</v>
      </c>
      <c r="S250" s="301">
        <f t="shared" si="59"/>
        <v>0</v>
      </c>
      <c r="T250" s="301">
        <f t="shared" si="59"/>
        <v>0</v>
      </c>
      <c r="U250" s="301">
        <f t="shared" si="59"/>
        <v>-7991</v>
      </c>
      <c r="V250" s="301">
        <f t="shared" si="59"/>
        <v>0</v>
      </c>
      <c r="W250" s="301">
        <f t="shared" si="59"/>
        <v>0</v>
      </c>
      <c r="X250" s="301">
        <f t="shared" si="59"/>
        <v>0</v>
      </c>
      <c r="Y250" s="301">
        <f>Y244+Y237+Y229+Y208+Y203</f>
        <v>-52878</v>
      </c>
      <c r="Z250" s="301">
        <f>Z244+Z237+Z229+Z208+Z203</f>
        <v>0</v>
      </c>
      <c r="AA250" s="301">
        <f>AA244+AA237+AA229+AA208+AA203</f>
        <v>0</v>
      </c>
      <c r="AB250" s="301">
        <f>AB244+AB237+AB229+AB208+AB203</f>
        <v>0</v>
      </c>
      <c r="AC250" s="262">
        <f t="shared" si="53"/>
        <v>-1475389</v>
      </c>
      <c r="AD250" s="262">
        <f t="shared" si="53"/>
        <v>0</v>
      </c>
      <c r="AE250" s="299">
        <f>AE244+AE237+AE229+AE208+AE203</f>
        <v>0</v>
      </c>
      <c r="AF250" s="263">
        <f t="shared" si="51"/>
        <v>-12304367</v>
      </c>
      <c r="AG250" s="264"/>
      <c r="AH250" s="264"/>
      <c r="AI250" s="264"/>
      <c r="AJ250" s="264"/>
      <c r="AK250" s="264"/>
      <c r="AL250" s="264"/>
      <c r="AM250" s="264"/>
      <c r="AN250" s="264"/>
      <c r="AO250" s="264"/>
      <c r="AP250" s="264"/>
      <c r="AQ250" s="264"/>
      <c r="AR250" s="264"/>
      <c r="AS250" s="264"/>
      <c r="AT250" s="264"/>
      <c r="AU250" s="264"/>
      <c r="AV250" s="362">
        <f>AV244+AV237+AV229+AV208+AV203</f>
        <v>-7168204</v>
      </c>
    </row>
    <row r="251" spans="1:50" ht="33" customHeight="1">
      <c r="A251" s="337"/>
      <c r="B251" s="363" t="s">
        <v>516</v>
      </c>
      <c r="C251" s="302">
        <f>C115+C137+C202+C250</f>
        <v>7535082</v>
      </c>
      <c r="D251" s="302">
        <f>-D115-D137-D202-D250</f>
        <v>47593</v>
      </c>
      <c r="E251" s="303"/>
      <c r="F251" s="302">
        <f>F115+F137+F202+F250</f>
        <v>-99635</v>
      </c>
      <c r="G251" s="303"/>
      <c r="H251" s="302">
        <f>H115+H137+H202+H250</f>
        <v>8392399</v>
      </c>
      <c r="I251" s="302">
        <f>I115+I137+I202+I250</f>
        <v>-844774</v>
      </c>
      <c r="J251" s="302">
        <f>J115+J137+J202+J250</f>
        <v>1047862</v>
      </c>
      <c r="K251" s="302">
        <f>K115+K137+K202+K250</f>
        <v>49742</v>
      </c>
      <c r="L251" s="302">
        <f>L115+L137+L202+L250</f>
        <v>-49742</v>
      </c>
      <c r="M251" s="304">
        <f aca="true" t="shared" si="60" ref="M251:AB251">M115+M137+M202+M250</f>
        <v>-1360176</v>
      </c>
      <c r="N251" s="304">
        <f t="shared" si="60"/>
        <v>1686211</v>
      </c>
      <c r="O251" s="304">
        <f t="shared" si="60"/>
        <v>3475</v>
      </c>
      <c r="P251" s="304">
        <f t="shared" si="60"/>
        <v>-3475</v>
      </c>
      <c r="Q251" s="304">
        <f t="shared" si="60"/>
        <v>-280786</v>
      </c>
      <c r="R251" s="304">
        <f t="shared" si="60"/>
        <v>290349</v>
      </c>
      <c r="S251" s="304">
        <f t="shared" si="60"/>
        <v>0</v>
      </c>
      <c r="T251" s="304">
        <f t="shared" si="60"/>
        <v>-3188</v>
      </c>
      <c r="U251" s="304">
        <f t="shared" si="60"/>
        <v>-1113265</v>
      </c>
      <c r="V251" s="304">
        <f t="shared" si="60"/>
        <v>1128607</v>
      </c>
      <c r="W251" s="304">
        <f t="shared" si="60"/>
        <v>1121861</v>
      </c>
      <c r="X251" s="304">
        <f t="shared" si="60"/>
        <v>-1121861</v>
      </c>
      <c r="Y251" s="304">
        <f t="shared" si="60"/>
        <v>-71813</v>
      </c>
      <c r="Z251" s="304">
        <f t="shared" si="60"/>
        <v>105071</v>
      </c>
      <c r="AA251" s="304">
        <f t="shared" si="60"/>
        <v>0</v>
      </c>
      <c r="AB251" s="304">
        <f t="shared" si="60"/>
        <v>0</v>
      </c>
      <c r="AC251" s="305">
        <f>I251+K251+M251+O251+Q251+S251+U251+W251+Y251+AA251</f>
        <v>-2495736</v>
      </c>
      <c r="AD251" s="305">
        <f t="shared" si="53"/>
        <v>3079834</v>
      </c>
      <c r="AE251" s="302">
        <f>AE115+AE137+AE202+AE250</f>
        <v>94</v>
      </c>
      <c r="AF251" s="302">
        <f>AF115+AF137+AF202+AF250</f>
        <v>8976591</v>
      </c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64">
        <f>AV115+AV137+AV202+AV250</f>
        <v>4677888</v>
      </c>
      <c r="AW251" s="163"/>
      <c r="AX251" s="163"/>
    </row>
    <row r="252" spans="1:48" ht="21.75" customHeight="1">
      <c r="A252" s="338"/>
      <c r="B252" s="353" t="s">
        <v>346</v>
      </c>
      <c r="C252" s="307">
        <v>-1499000</v>
      </c>
      <c r="D252" s="307">
        <f aca="true" t="shared" si="61" ref="D252:AB252">SUM(D253)</f>
        <v>0</v>
      </c>
      <c r="E252" s="94"/>
      <c r="F252" s="307">
        <f>SUM(F253)</f>
        <v>0</v>
      </c>
      <c r="G252" s="94"/>
      <c r="H252" s="247">
        <f>C252+D252-F252</f>
        <v>-1499000</v>
      </c>
      <c r="I252" s="308">
        <f>SUM(I253)</f>
        <v>-30751</v>
      </c>
      <c r="J252" s="308">
        <f>SUM(J253)</f>
        <v>0</v>
      </c>
      <c r="K252" s="308">
        <f t="shared" si="61"/>
        <v>0</v>
      </c>
      <c r="L252" s="308">
        <f t="shared" si="61"/>
        <v>0</v>
      </c>
      <c r="M252" s="308">
        <f t="shared" si="61"/>
        <v>-55775</v>
      </c>
      <c r="N252" s="308">
        <f t="shared" si="61"/>
        <v>0</v>
      </c>
      <c r="O252" s="308">
        <f t="shared" si="61"/>
        <v>0</v>
      </c>
      <c r="P252" s="308">
        <f t="shared" si="61"/>
        <v>0</v>
      </c>
      <c r="Q252" s="308">
        <f t="shared" si="61"/>
        <v>-1689</v>
      </c>
      <c r="R252" s="308">
        <f t="shared" si="61"/>
        <v>0</v>
      </c>
      <c r="S252" s="308">
        <f t="shared" si="61"/>
        <v>0</v>
      </c>
      <c r="T252" s="308">
        <f t="shared" si="61"/>
        <v>0</v>
      </c>
      <c r="U252" s="308">
        <f t="shared" si="61"/>
        <v>0</v>
      </c>
      <c r="V252" s="308">
        <f t="shared" si="61"/>
        <v>0</v>
      </c>
      <c r="W252" s="308">
        <f t="shared" si="61"/>
        <v>0</v>
      </c>
      <c r="X252" s="308">
        <f t="shared" si="61"/>
        <v>0</v>
      </c>
      <c r="Y252" s="308">
        <f t="shared" si="61"/>
        <v>-17141</v>
      </c>
      <c r="Z252" s="308">
        <f t="shared" si="61"/>
        <v>0</v>
      </c>
      <c r="AA252" s="308">
        <f t="shared" si="61"/>
        <v>0</v>
      </c>
      <c r="AB252" s="308">
        <f t="shared" si="61"/>
        <v>0</v>
      </c>
      <c r="AC252" s="229">
        <f t="shared" si="53"/>
        <v>-105356</v>
      </c>
      <c r="AD252" s="229">
        <f t="shared" si="53"/>
        <v>0</v>
      </c>
      <c r="AE252" s="307">
        <f>SUM(AE253)</f>
        <v>0</v>
      </c>
      <c r="AF252" s="307">
        <f>SUM(AF253)</f>
        <v>-2404356</v>
      </c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354">
        <v>-388511</v>
      </c>
    </row>
    <row r="253" spans="1:48" ht="91.5" customHeight="1" hidden="1">
      <c r="A253" s="339">
        <v>5999</v>
      </c>
      <c r="B253" s="348" t="s">
        <v>475</v>
      </c>
      <c r="C253" s="187">
        <v>-2299000</v>
      </c>
      <c r="D253" s="22"/>
      <c r="E253" s="81"/>
      <c r="F253" s="22"/>
      <c r="G253" s="81"/>
      <c r="H253" s="4">
        <f>C253+D253-F253</f>
        <v>-2299000</v>
      </c>
      <c r="I253" s="309">
        <v>-30751</v>
      </c>
      <c r="J253" s="310"/>
      <c r="K253" s="23"/>
      <c r="L253" s="26"/>
      <c r="M253" s="23">
        <v>-55775</v>
      </c>
      <c r="N253" s="23"/>
      <c r="O253" s="23"/>
      <c r="P253" s="26"/>
      <c r="Q253" s="26">
        <v>-1689</v>
      </c>
      <c r="R253" s="26"/>
      <c r="S253" s="26"/>
      <c r="T253" s="26"/>
      <c r="U253" s="26"/>
      <c r="V253" s="26"/>
      <c r="W253" s="26"/>
      <c r="X253" s="26"/>
      <c r="Y253" s="8">
        <f>-17141</f>
        <v>-17141</v>
      </c>
      <c r="Z253" s="8"/>
      <c r="AA253" s="26"/>
      <c r="AB253" s="26"/>
      <c r="AC253" s="3">
        <f t="shared" si="53"/>
        <v>-105356</v>
      </c>
      <c r="AD253" s="3">
        <f t="shared" si="53"/>
        <v>0</v>
      </c>
      <c r="AE253" s="22">
        <v>0</v>
      </c>
      <c r="AF253" s="258">
        <f>H253+AC253-AD253</f>
        <v>-2404356</v>
      </c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349"/>
    </row>
    <row r="254" spans="1:48" ht="24" customHeight="1" thickBot="1">
      <c r="A254" s="340"/>
      <c r="B254" s="365" t="s">
        <v>517</v>
      </c>
      <c r="C254" s="366">
        <f>C251+C252</f>
        <v>6036082</v>
      </c>
      <c r="D254" s="366">
        <f>D251+D252</f>
        <v>47593</v>
      </c>
      <c r="E254" s="367"/>
      <c r="F254" s="366">
        <f>F251+F252</f>
        <v>-99635</v>
      </c>
      <c r="G254" s="367"/>
      <c r="H254" s="366">
        <f aca="true" t="shared" si="62" ref="H254:AB254">H251+H252</f>
        <v>6893399</v>
      </c>
      <c r="I254" s="368">
        <f>I251+I252</f>
        <v>-875525</v>
      </c>
      <c r="J254" s="369">
        <f t="shared" si="62"/>
        <v>1047862</v>
      </c>
      <c r="K254" s="368">
        <f t="shared" si="62"/>
        <v>49742</v>
      </c>
      <c r="L254" s="368">
        <f t="shared" si="62"/>
        <v>-49742</v>
      </c>
      <c r="M254" s="368">
        <f t="shared" si="62"/>
        <v>-1415951</v>
      </c>
      <c r="N254" s="368">
        <f t="shared" si="62"/>
        <v>1686211</v>
      </c>
      <c r="O254" s="368">
        <f t="shared" si="62"/>
        <v>3475</v>
      </c>
      <c r="P254" s="368">
        <f t="shared" si="62"/>
        <v>-3475</v>
      </c>
      <c r="Q254" s="368">
        <f t="shared" si="62"/>
        <v>-282475</v>
      </c>
      <c r="R254" s="368">
        <f t="shared" si="62"/>
        <v>290349</v>
      </c>
      <c r="S254" s="368">
        <f t="shared" si="62"/>
        <v>0</v>
      </c>
      <c r="T254" s="368">
        <f t="shared" si="62"/>
        <v>-3188</v>
      </c>
      <c r="U254" s="368">
        <f t="shared" si="62"/>
        <v>-1113265</v>
      </c>
      <c r="V254" s="368">
        <f t="shared" si="62"/>
        <v>1128607</v>
      </c>
      <c r="W254" s="368">
        <f t="shared" si="62"/>
        <v>1121861</v>
      </c>
      <c r="X254" s="368">
        <f t="shared" si="62"/>
        <v>-1121861</v>
      </c>
      <c r="Y254" s="368">
        <f t="shared" si="62"/>
        <v>-88954</v>
      </c>
      <c r="Z254" s="368">
        <f t="shared" si="62"/>
        <v>105071</v>
      </c>
      <c r="AA254" s="368">
        <f t="shared" si="62"/>
        <v>0</v>
      </c>
      <c r="AB254" s="368">
        <f t="shared" si="62"/>
        <v>0</v>
      </c>
      <c r="AC254" s="370">
        <f t="shared" si="53"/>
        <v>-2601092</v>
      </c>
      <c r="AD254" s="370">
        <f t="shared" si="53"/>
        <v>3079834</v>
      </c>
      <c r="AE254" s="366">
        <f>AE251+AE252</f>
        <v>94</v>
      </c>
      <c r="AF254" s="366">
        <f>AF251+AF252</f>
        <v>6572235</v>
      </c>
      <c r="AG254" s="371"/>
      <c r="AH254" s="371"/>
      <c r="AI254" s="371"/>
      <c r="AJ254" s="371"/>
      <c r="AK254" s="371"/>
      <c r="AL254" s="371"/>
      <c r="AM254" s="371"/>
      <c r="AN254" s="371"/>
      <c r="AO254" s="371"/>
      <c r="AP254" s="371"/>
      <c r="AQ254" s="371"/>
      <c r="AR254" s="371"/>
      <c r="AS254" s="371"/>
      <c r="AT254" s="371"/>
      <c r="AU254" s="371"/>
      <c r="AV254" s="372">
        <f>AV251+AV252</f>
        <v>4289377</v>
      </c>
    </row>
    <row r="255" spans="1:32" ht="21" customHeight="1" hidden="1">
      <c r="A255" s="152"/>
      <c r="B255" s="211" t="s">
        <v>504</v>
      </c>
      <c r="C255" s="212"/>
      <c r="D255" s="213"/>
      <c r="E255" s="214"/>
      <c r="F255" s="214"/>
      <c r="G255" s="214"/>
      <c r="H255" s="214"/>
      <c r="I255" s="215"/>
      <c r="J255" s="216">
        <f>I254+J254</f>
        <v>172337</v>
      </c>
      <c r="K255" s="214"/>
      <c r="L255" s="213">
        <f>K254+L254</f>
        <v>0</v>
      </c>
      <c r="M255" s="217"/>
      <c r="N255" s="218">
        <f>M254+N254</f>
        <v>270260</v>
      </c>
      <c r="O255" s="219"/>
      <c r="P255" s="219"/>
      <c r="Q255" s="220"/>
      <c r="R255" s="221">
        <f>Q254+R254</f>
        <v>7874</v>
      </c>
      <c r="S255" s="219"/>
      <c r="T255" s="221">
        <f>S254+T254</f>
        <v>-3188</v>
      </c>
      <c r="U255" s="222"/>
      <c r="V255" s="221">
        <f>U254+V254</f>
        <v>15342</v>
      </c>
      <c r="W255" s="221"/>
      <c r="X255" s="221"/>
      <c r="Y255" s="223"/>
      <c r="Z255" s="221">
        <f>Y254+Z254</f>
        <v>16117</v>
      </c>
      <c r="AA255" s="221"/>
      <c r="AB255" s="221"/>
      <c r="AC255" s="224">
        <f t="shared" si="53"/>
        <v>0</v>
      </c>
      <c r="AD255" s="224">
        <f t="shared" si="53"/>
        <v>478742</v>
      </c>
      <c r="AE255" s="225"/>
      <c r="AF255" s="226"/>
    </row>
    <row r="256" spans="1:50" ht="19.5" customHeight="1" hidden="1">
      <c r="A256" s="171"/>
      <c r="B256" s="183" t="s">
        <v>502</v>
      </c>
      <c r="C256" s="24"/>
      <c r="D256" s="24"/>
      <c r="E256" s="42"/>
      <c r="F256" s="24"/>
      <c r="G256" s="42"/>
      <c r="H256" s="24">
        <f>H254</f>
        <v>6893399</v>
      </c>
      <c r="I256" s="43"/>
      <c r="J256" s="66">
        <f>J255-J257</f>
        <v>150351</v>
      </c>
      <c r="K256" s="43"/>
      <c r="L256" s="43">
        <f>L255</f>
        <v>0</v>
      </c>
      <c r="M256" s="158"/>
      <c r="N256" s="172">
        <f>N254+M254</f>
        <v>270260</v>
      </c>
      <c r="O256" s="25"/>
      <c r="P256" s="25"/>
      <c r="Q256" s="25"/>
      <c r="R256" s="25">
        <f>R255</f>
        <v>7874</v>
      </c>
      <c r="S256" s="25"/>
      <c r="T256" s="25">
        <f>T255</f>
        <v>-3188</v>
      </c>
      <c r="U256" s="25"/>
      <c r="V256" s="25">
        <f>V255</f>
        <v>15342</v>
      </c>
      <c r="W256" s="25"/>
      <c r="X256" s="25"/>
      <c r="Y256" s="24"/>
      <c r="Z256" s="25">
        <f>Z255*61.9%</f>
        <v>9976.423</v>
      </c>
      <c r="AA256" s="25"/>
      <c r="AB256" s="25"/>
      <c r="AC256" s="69">
        <f t="shared" si="53"/>
        <v>0</v>
      </c>
      <c r="AD256" s="69">
        <f t="shared" si="53"/>
        <v>450615.423</v>
      </c>
      <c r="AE256" s="24">
        <f>AE254</f>
        <v>94</v>
      </c>
      <c r="AF256" s="24">
        <f>H256+N256+AE256+J256+R256+T256+V256+Z256+L256</f>
        <v>7344108.423</v>
      </c>
      <c r="AX256" s="163"/>
    </row>
    <row r="257" spans="1:32" ht="19.5" customHeight="1" hidden="1">
      <c r="A257" s="171"/>
      <c r="B257" s="183" t="s">
        <v>503</v>
      </c>
      <c r="C257" s="188"/>
      <c r="D257" s="44"/>
      <c r="E257" s="44"/>
      <c r="F257" s="44"/>
      <c r="G257" s="44"/>
      <c r="H257" s="44"/>
      <c r="I257" s="44"/>
      <c r="J257" s="66">
        <f>13011+8975</f>
        <v>21986</v>
      </c>
      <c r="K257" s="44"/>
      <c r="L257" s="44"/>
      <c r="M257" s="160"/>
      <c r="N257" s="158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71"/>
      <c r="Z257" s="173">
        <f>Z255-Z256</f>
        <v>6140.576999999999</v>
      </c>
      <c r="AA257" s="160"/>
      <c r="AB257" s="160"/>
      <c r="AC257" s="69">
        <f t="shared" si="53"/>
        <v>0</v>
      </c>
      <c r="AD257" s="69">
        <f t="shared" si="53"/>
        <v>28126.576999999997</v>
      </c>
      <c r="AE257" s="160"/>
      <c r="AF257" s="24">
        <f>H257+N257+AE257+J257+R257+T257+V257+Z257</f>
        <v>28126.576999999997</v>
      </c>
    </row>
    <row r="258" spans="2:32" ht="28.5" customHeight="1">
      <c r="B258" s="161" t="s">
        <v>447</v>
      </c>
      <c r="C258" s="311" t="s">
        <v>449</v>
      </c>
      <c r="R258" s="174"/>
      <c r="AF258" s="175">
        <f>AF256+AF257</f>
        <v>7372235</v>
      </c>
    </row>
    <row r="259" spans="2:12" ht="28.5" customHeight="1">
      <c r="B259" s="161" t="s">
        <v>448</v>
      </c>
      <c r="C259" s="311" t="s">
        <v>450</v>
      </c>
      <c r="D259" s="97"/>
      <c r="E259" s="97"/>
      <c r="F259" s="97"/>
      <c r="G259" s="97"/>
      <c r="H259" s="97"/>
      <c r="I259" s="97"/>
      <c r="J259" s="97"/>
      <c r="K259" s="97"/>
      <c r="L259" s="97"/>
    </row>
  </sheetData>
  <mergeCells count="18">
    <mergeCell ref="A4:A5"/>
    <mergeCell ref="B4:B5"/>
    <mergeCell ref="D4:G4"/>
    <mergeCell ref="I4:J4"/>
    <mergeCell ref="C4:C5"/>
    <mergeCell ref="K4:L4"/>
    <mergeCell ref="M4:N4"/>
    <mergeCell ref="O4:P4"/>
    <mergeCell ref="Q4:R4"/>
    <mergeCell ref="S4:T4"/>
    <mergeCell ref="U4:V4"/>
    <mergeCell ref="W4:X4"/>
    <mergeCell ref="Y4:Z4"/>
    <mergeCell ref="AV4:AV5"/>
    <mergeCell ref="AA4:AB4"/>
    <mergeCell ref="AC4:AD4"/>
    <mergeCell ref="AE4:AE5"/>
    <mergeCell ref="AF4:AF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Vhegay</cp:lastModifiedBy>
  <cp:lastPrinted>2007-01-30T06:36:42Z</cp:lastPrinted>
  <dcterms:created xsi:type="dcterms:W3CDTF">2004-07-16T16:46:11Z</dcterms:created>
  <dcterms:modified xsi:type="dcterms:W3CDTF">2007-03-14T11:57:41Z</dcterms:modified>
  <cp:category/>
  <cp:version/>
  <cp:contentType/>
  <cp:contentStatus/>
</cp:coreProperties>
</file>