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5640" firstSheet="2" activeTab="4"/>
  </bookViews>
  <sheets>
    <sheet name="Конс Б-с ф.1 на 01 10 2014" sheetId="1" r:id="rId1"/>
    <sheet name="Конс ОПУ ф.2 на 01 10 2014" sheetId="2" r:id="rId2"/>
    <sheet name="Конс ф. 3 на 01 10 2014г" sheetId="3" r:id="rId3"/>
    <sheet name="Отчет" sheetId="4" r:id="rId4"/>
    <sheet name="Отчет (2)" sheetId="5" r:id="rId5"/>
  </sheets>
  <definedNames>
    <definedName name="_xlnm.Print_Titles" localSheetId="1">'Конс ОПУ ф.2 на 01 10 2014'!$1:$6</definedName>
    <definedName name="_xlnm.Print_Area" localSheetId="0">'Конс Б-с ф.1 на 01 10 2014'!$A$1:$E$50</definedName>
    <definedName name="_xlnm.Print_Area" localSheetId="3">'Отчет'!$A$1:$T$26</definedName>
  </definedNames>
  <calcPr fullCalcOnLoad="1"/>
</workbook>
</file>

<file path=xl/sharedStrings.xml><?xml version="1.0" encoding="utf-8"?>
<sst xmlns="http://schemas.openxmlformats.org/spreadsheetml/2006/main" count="230" uniqueCount="167">
  <si>
    <t>(в тысячах  тенге)</t>
  </si>
  <si>
    <t xml:space="preserve">Прочие расходы, не связанные с вознаграждением </t>
  </si>
  <si>
    <t>АКТИВЫ</t>
  </si>
  <si>
    <t>Денежные средства и их эквиваленты</t>
  </si>
  <si>
    <t>Прочие активы</t>
  </si>
  <si>
    <t>ОБЯЗАТЕЛЬСТВА</t>
  </si>
  <si>
    <t>Прочие обязательства</t>
  </si>
  <si>
    <t xml:space="preserve">Комиссионные доходы </t>
  </si>
  <si>
    <t xml:space="preserve">Комиссионные расходы </t>
  </si>
  <si>
    <t>ГЛАВНЫЙ  БУХГАЛТЕР</t>
  </si>
  <si>
    <t>Акционерный капитал</t>
  </si>
  <si>
    <t>КАПИТАЛ</t>
  </si>
  <si>
    <t>Резерв по переоценке активов, имеющихся в наличии для продажи:</t>
  </si>
  <si>
    <t>Накопленные убытки</t>
  </si>
  <si>
    <t xml:space="preserve">Прочие общие и административные расходы </t>
  </si>
  <si>
    <t>Кредиты и авансы, выданные банкам</t>
  </si>
  <si>
    <t>Кредиты, выданные клиентам</t>
  </si>
  <si>
    <t>Основные средства и нематериальные активы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</si>
  <si>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</si>
  <si>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Текущие счета и депозиты клиентов</t>
  </si>
  <si>
    <t>Субординированные займы</t>
  </si>
  <si>
    <t>Прочие привлеченные средства</t>
  </si>
  <si>
    <t>Чистая прибыль от операций с иностранной валютой</t>
  </si>
  <si>
    <t xml:space="preserve">- Чистое изменение справедливой стоимости </t>
  </si>
  <si>
    <t>Финансовые активы, имеющиеся в наличии для продажи</t>
  </si>
  <si>
    <t xml:space="preserve"> - находящиеся в собственности группы</t>
  </si>
  <si>
    <t>Текущий налоговый актив</t>
  </si>
  <si>
    <t>Отложенный налоговый актив</t>
  </si>
  <si>
    <t>Доля неконтролирующих акционеров</t>
  </si>
  <si>
    <t>Общий резерв</t>
  </si>
  <si>
    <t>Операционные доходы</t>
  </si>
  <si>
    <t>Прибыль/(убыток) до налогообложения</t>
  </si>
  <si>
    <t>Прибыль/(убыток) за период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</si>
  <si>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</si>
  <si>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КАСЕНОВА М.Н.</t>
  </si>
  <si>
    <t>ПРЕДСЕДАТЕЛЬ ПРАВЛЕНИЯ</t>
  </si>
  <si>
    <t>ЭНТОНИ ЭСПИНА</t>
  </si>
  <si>
    <t xml:space="preserve">Чистый убыток от операций с финансовыми активами, имеющимися в наличии для продажи </t>
  </si>
  <si>
    <t>- Чистое изменение справедливой стоимости, перенесенное в состав прибыли или убытка</t>
  </si>
  <si>
    <t xml:space="preserve">Балансовая стоимость одной простой акции, тыс.тенге </t>
  </si>
  <si>
    <t>Чистая прибыль/(убыток) от выбытия долгосрочных активов, в т.ч. основных средств и нематериальных активов</t>
  </si>
  <si>
    <t>неконтролирующих акционеров</t>
  </si>
  <si>
    <t>акционеров Банка</t>
  </si>
  <si>
    <t>- Курсовые разницы при пересчете показателей иностранных подразделений из других валют</t>
  </si>
  <si>
    <t xml:space="preserve">Итого совокупного дохода/(убытка) за период </t>
  </si>
  <si>
    <t>Прибыль/(убыток) на акцию</t>
  </si>
  <si>
    <t xml:space="preserve">Базовая и разводненная прибыль/(убыток) на акцию, в тенге </t>
  </si>
  <si>
    <t xml:space="preserve">Счета и депозиты банков и прочих финансовых институтов </t>
  </si>
  <si>
    <t>Эмиссионный доход</t>
  </si>
  <si>
    <t xml:space="preserve">Резерв по переоценке финансовых активов, имеющихся в наличии для продажи </t>
  </si>
  <si>
    <t xml:space="preserve">Резерв накопленных курсовых разниц </t>
  </si>
  <si>
    <t>Всего капитала, причитающегося акционерам Банка</t>
  </si>
  <si>
    <t>Всего капитала</t>
  </si>
  <si>
    <t>Убытки от обесценения</t>
  </si>
  <si>
    <t>Чистый (убыток)/прибыль от операций с производными финансовыми инструментами</t>
  </si>
  <si>
    <t>10</t>
  </si>
  <si>
    <t>11</t>
  </si>
  <si>
    <t>12</t>
  </si>
  <si>
    <t>13</t>
  </si>
  <si>
    <t>14</t>
  </si>
  <si>
    <t>15</t>
  </si>
  <si>
    <t>Итого активов</t>
  </si>
  <si>
    <t>АО "АТФБанк"</t>
  </si>
  <si>
    <t xml:space="preserve"> по состоянию на 30 сентября 2014 года</t>
  </si>
  <si>
    <t>30 сентября 2014 года (неаудировано)</t>
  </si>
  <si>
    <t>31 декабря 2013 года</t>
  </si>
  <si>
    <t>Итого обязательств</t>
  </si>
  <si>
    <t>Всего обязательств и капитала</t>
  </si>
  <si>
    <t xml:space="preserve"> Консолидированный промежуточный сокращенный отчет о финансовом положении</t>
  </si>
  <si>
    <t xml:space="preserve"> за девятимесячный период, закончившийся 30 сентября 2014 года</t>
  </si>
  <si>
    <t>Девятимесячный период, закончившийся 30 сентября 2014 года (неаудировано)</t>
  </si>
  <si>
    <t>Девятимесячный период, закончившийся 30 сентября 2013 года (неаудировано)</t>
  </si>
  <si>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</si>
  <si>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</si>
  <si>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</si>
  <si>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</si>
  <si>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Относимый на:</t>
  </si>
  <si>
    <t xml:space="preserve">Относимого на: </t>
  </si>
  <si>
    <r>
      <t xml:space="preserve">Прочий совокупный доход за отчетный период, за вычетом подоходного налога
</t>
    </r>
    <r>
      <rPr>
        <i/>
        <sz val="10"/>
        <color indexed="8"/>
        <rFont val="Times New Roman"/>
        <family val="1"/>
      </rPr>
      <t xml:space="preserve">Статьи, которые были или могут быть впоследствии реклассифицированы в состав прибыли или убытка:
</t>
    </r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</si>
  <si>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</si>
  <si>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 Консолидированный промежуточный сокращенный отчет о прибыли или убытке и прочем совокупном доходе</t>
  </si>
  <si>
    <t>9</t>
  </si>
  <si>
    <t>7</t>
  </si>
  <si>
    <t>8</t>
  </si>
  <si>
    <t>4</t>
  </si>
  <si>
    <t>5</t>
  </si>
  <si>
    <t>6</t>
  </si>
  <si>
    <t>16</t>
  </si>
  <si>
    <t>17</t>
  </si>
  <si>
    <t>18</t>
  </si>
  <si>
    <t>Приме-чание</t>
  </si>
  <si>
    <t>Консолидированный отчет о финансовом положении должен рассматриваться вместе с примечаниями к данной</t>
  </si>
  <si>
    <t xml:space="preserve"> консолидированной финансовой отчетности, которые являются ее неотъемлемой частью.</t>
  </si>
  <si>
    <t>Расходы на персонал</t>
  </si>
  <si>
    <t>Убыток от выкупленных собственных долговых инструментов</t>
  </si>
  <si>
    <t>Прочие операционные доходы</t>
  </si>
  <si>
    <t xml:space="preserve">Расходы по подоходному налогу </t>
  </si>
  <si>
    <t>Прочий совокупный доход за период, за вычетом подоходного налога</t>
  </si>
  <si>
    <t>Итого сокупного дохода/(убытка) за период</t>
  </si>
  <si>
    <t>24</t>
  </si>
  <si>
    <t xml:space="preserve"> Консолидированный промежуточный сокращенный отчет о движении денежных средств</t>
  </si>
  <si>
    <t>ДВИЖЕНИЕ ДЕНЕЖНЫХ СРЕДСТВ ОТ ОПЕРАЦИОННОЙ ДЕЯТЕЛЬНОСТИ</t>
  </si>
  <si>
    <t>Комиссионные доходы</t>
  </si>
  <si>
    <t>Комиссионные расходы</t>
  </si>
  <si>
    <t>Чистые выплаты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</si>
  <si>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Чистые поступления от операций с иностранной валютой </t>
  </si>
  <si>
    <t>Поступления по прочим доходам</t>
  </si>
  <si>
    <t>Расходы на персонал (выплаты)</t>
  </si>
  <si>
    <t xml:space="preserve">Прочие общие и административные расходы выплаченные </t>
  </si>
  <si>
    <t>Операционный доход до изменений в чистых операционных активах</t>
  </si>
  <si>
    <t>Увеличение/уменьшение в операционных активах</t>
  </si>
  <si>
    <t>Финансовые инструменты, оцениваемые по справедливой стоимости, изменения которой отражаются в составе отчета о прибылях и убытках за период</t>
  </si>
  <si>
    <t>Кредиты и авансы выданные банкам</t>
  </si>
  <si>
    <t>Дебиторская задолженность "UniCredit Austria AG" по гарантийному соглашению</t>
  </si>
  <si>
    <t>Увеличение/уменьшение в операционных обязательствах</t>
  </si>
  <si>
    <t>Счета и депозиты банков и прочих финансовых институтов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</si>
  <si>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</si>
  <si>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</si>
  <si>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Чистое поступление денежных средств от операционной деятельности</t>
  </si>
  <si>
    <t>ДВИЖЕНИЕ ДЕНЕЖНЫХ СРЕДСТВ ОТ ИНВЕСТИЦИОННОЙ ДЕЯТЕЛЬНОСТИ</t>
  </si>
  <si>
    <t>Приобретение финансовых активов,  имеющихся в наличии для продажи</t>
  </si>
  <si>
    <t>Продажа финансовых активов,  имеющихся в наличии для продажи</t>
  </si>
  <si>
    <t>Приобретение основных средств и нематериальных активов</t>
  </si>
  <si>
    <t>Продажа основных средств и нематериальных активов</t>
  </si>
  <si>
    <t xml:space="preserve">(Использование)/поступление денежных средств от инвестиционной деятельности </t>
  </si>
  <si>
    <t>ДВИЖЕНИЕ ДЕНЕЖНЫХ СРЕДСТВ ОТ ФИНАНСОВОЙ ДЕЯТЕЛЬНОСТИ</t>
  </si>
  <si>
    <t>Выпуск акций</t>
  </si>
  <si>
    <t>Поступление от долговых ценных бумаг выпущенных</t>
  </si>
  <si>
    <t>Поступления  кредитов</t>
  </si>
  <si>
    <t>Погашение  кредитов</t>
  </si>
  <si>
    <t>Поступления от выпуска субординированного долга</t>
  </si>
  <si>
    <t>Погашение субординированных займов</t>
  </si>
  <si>
    <t>Поступления от выпущенных долговых ценных бумаг</t>
  </si>
  <si>
    <t>Погашение долговых ценных бумаг</t>
  </si>
  <si>
    <t xml:space="preserve">Дивиденды выплаченные </t>
  </si>
  <si>
    <t>Использование денежных средств в финансовой деятельности</t>
  </si>
  <si>
    <t>Нетто (уменьшение)/увеличение денежных средств и их эквивалентов</t>
  </si>
  <si>
    <t>Влияние изменения курсов обмена на денежные средства и их эквиваленты</t>
  </si>
  <si>
    <t>Чистое движение денежных средств и их эквивалентов</t>
  </si>
  <si>
    <t xml:space="preserve">Денежные средства и эквиваленты денежных средств на начало периода </t>
  </si>
  <si>
    <t>Денежные средства и эквиваленты денежных средств на конец периода</t>
  </si>
  <si>
    <t>Остаток на 30 сентября 2013 года (неаудировано)</t>
  </si>
  <si>
    <t>Комиссионные выплаты банку "Uni-Credit Austria AG" (неаудировано)</t>
  </si>
  <si>
    <t>Дивиденды дочерних организаций миноритарному акционеру (неаудировано)</t>
  </si>
  <si>
    <t>Операции с собственниками, отраженные непосредственно в составе капитала</t>
  </si>
  <si>
    <t>Итого совокупного дохода за отчетный период (неаудировано)</t>
  </si>
  <si>
    <t>Динамические резервы (неаудировано)</t>
  </si>
  <si>
    <t>Итого прочего совокупного дохода/убытка</t>
  </si>
  <si>
    <t>Курсовые разницы при пересчете показателей иностранных подразделений из других валют (неаудировано)</t>
  </si>
  <si>
    <t>Чистое изменение справедливой стоимости финансовых активов, имеющихся в наличии для продажи (неаудировано)</t>
  </si>
  <si>
    <t>Чистое изменение справедливой стоимости, перенесенное в состав прибыли или убытка (неаудировано)</t>
  </si>
  <si>
    <t>Статьи, которые реклассифицированы или могут быть впоследствии реклассифицированы в состав прибыли или убытка:</t>
  </si>
  <si>
    <t>Прочий совокупный доход:</t>
  </si>
  <si>
    <t>Прибыль за период (неаудировано)</t>
  </si>
  <si>
    <t xml:space="preserve">На 1 января 2013 года </t>
  </si>
  <si>
    <t>Итого</t>
  </si>
  <si>
    <t>Резерв накопленных курсовых разниц</t>
  </si>
  <si>
    <t>Резерв по переоценке финансовых активов, имеющихся в наличии для продажи</t>
  </si>
  <si>
    <t>Динамические резервы</t>
  </si>
  <si>
    <t>Итого капитала</t>
  </si>
  <si>
    <t>Доля неконтролирую-щих акционеров</t>
  </si>
  <si>
    <t>Капитал, причитающийся акционерам Банка</t>
  </si>
  <si>
    <t>тыс.тенге</t>
  </si>
  <si>
    <t xml:space="preserve"> Консолидированный промежуточный сокращенный отчет об изменениях в капитале за девятимесячный период, закончившийся 30 сентября 2014 года</t>
  </si>
  <si>
    <t>Остаток на 30 сентября 2014 года (неаудировано)</t>
  </si>
  <si>
    <t xml:space="preserve">Прочий совокупный доход </t>
  </si>
  <si>
    <t>На 1 января 2014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</si>
</sst>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&quot;  &quot;;\-#,##0&quot;  &quot;"/>
    <numFmt numFmtId="181" formatCode="#,##0&quot;  &quot;;[Red]\-#,##0&quot;  &quot;"/>
    <numFmt numFmtId="182" formatCode="#,##0.00&quot;  &quot;;\-#,##0.00&quot;  &quot;"/>
    <numFmt numFmtId="183" formatCode="#,##0.00&quot;  &quot;;[Red]\-#,##0.00&quot;  &quot;"/>
    <numFmt numFmtId="184" formatCode="_-* #,##0&quot;  &quot;_-;\-* #,##0&quot;  &quot;_-;_-* &quot;-&quot;&quot;  &quot;_-;_-@_-"/>
    <numFmt numFmtId="185" formatCode="_-* #,##0_ _ _-;\-* #,##0_ _ _-;_-* &quot;-&quot;_ _ _-;_-@_-"/>
    <numFmt numFmtId="186" formatCode="_-* #,##0.00&quot;  &quot;_-;\-* #,##0.00&quot;  &quot;_-;_-* &quot;-&quot;??&quot;  &quot;_-;_-@_-"/>
    <numFmt numFmtId="187" formatCode="_-* #,##0.00_ _ _-;\-* #,##0.00_ _ _-;_-* &quot;-&quot;??_ _ _-;_-@_-"/>
    <numFmt numFmtId="188" formatCode="#,##0.000"/>
    <numFmt numFmtId="189" formatCode="_(* #,##0_);_(* \(#,##0\);_(* &quot;-&quot;??_);_(@_)"/>
    <numFmt numFmtId="190" formatCode="_(* #,##0.00_);_(* \(#,##0.00\);_(* &quot;-&quot;??_);_(@_)"/>
    <numFmt numFmtId="191" formatCode="_-* #&quot; &quot;##0.00_ _-;\-* #&quot; &quot;##0.00_ _-;_-* &quot;-&quot;??_ _-;_-@_-"/>
    <numFmt numFmtId="192" formatCode="_(* #&quot; &quot;##0.00_);_(* \(#&quot; &quot;##0.00\);_(* &quot;-&quot;??_);_(@_)"/>
    <numFmt numFmtId="193" formatCode="_(* #,##0_);_(* \(#,##0\);_(* &quot;-&quot;_);_(@_)"/>
    <numFmt numFmtId="194" formatCode="_-* #,##0.0000_р_._-;\-* #,##0.0000_р_._-;_-* &quot;-&quot;????_р_._-;_-@_-"/>
    <numFmt numFmtId="195" formatCode="dd/mm/yyyy;@"/>
    <numFmt numFmtId="196" formatCode="_(* #,##0.0000_);_(* \(#,##0.0000\);_(* &quot;-&quot;??_);_(@_)"/>
    <numFmt numFmtId="197" formatCode="0.000"/>
    <numFmt numFmtId="198" formatCode="_(* #,##0.00_);_(* \(#,##0.00\);_(* &quot;-&quot;_);_(@_)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_-* #,##0.0_ _ _-;\-* #,##0.0_ _ _-;_-* &quot;-&quot;??_ _ _-;_-@_-"/>
    <numFmt numFmtId="205" formatCode="_-* #,##0_ _ _-;\-* #,##0_ _ _-;_-* &quot;-&quot;??_ _ _-;_-@_-"/>
    <numFmt numFmtId="206" formatCode="_(* #,##0.0_);_(* \(#,##0.0\);_(* &quot;-&quot;??_);_(@_)"/>
    <numFmt numFmtId="207" formatCode="_(* #,##0.000_);_(* \(#,##0.000\);_(* &quot;-&quot;??_);_(@_)"/>
    <numFmt numFmtId="208" formatCode="_-* #,##0.000_ _ _-;\-* #,##0.000_ _ _-;_-* &quot;-&quot;??_ _ _-;_-@_-"/>
    <numFmt numFmtId="209" formatCode="#,##0.0"/>
  </numFmts>
  <fonts count="57">
    <font>
      <sz val="10"/>
      <name val="Arial Cyr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0" fontId="9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3" fontId="4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vertical="center"/>
      <protection/>
    </xf>
    <xf numFmtId="49" fontId="7" fillId="0" borderId="0" xfId="66" applyNumberFormat="1" applyFont="1" applyFill="1" applyBorder="1" applyAlignment="1">
      <alignment horizontal="center" vertical="center"/>
      <protection/>
    </xf>
    <xf numFmtId="3" fontId="7" fillId="0" borderId="0" xfId="66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  <protection/>
    </xf>
    <xf numFmtId="49" fontId="8" fillId="0" borderId="0" xfId="66" applyNumberFormat="1" applyFont="1" applyFill="1" applyBorder="1" applyAlignment="1">
      <alignment horizontal="center" vertical="center" wrapText="1"/>
      <protection/>
    </xf>
    <xf numFmtId="3" fontId="8" fillId="0" borderId="0" xfId="66" applyNumberFormat="1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vertical="center" wrapText="1"/>
      <protection/>
    </xf>
    <xf numFmtId="49" fontId="4" fillId="0" borderId="0" xfId="66" applyNumberFormat="1" applyFont="1" applyFill="1" applyBorder="1" applyAlignment="1">
      <alignment horizontal="center" vertical="center" wrapText="1"/>
      <protection/>
    </xf>
    <xf numFmtId="3" fontId="4" fillId="0" borderId="0" xfId="6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6" fillId="0" borderId="0" xfId="57" applyFont="1" applyFill="1" applyBorder="1" applyAlignment="1">
      <alignment vertical="center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3" fontId="7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 wrapText="1"/>
      <protection/>
    </xf>
    <xf numFmtId="49" fontId="6" fillId="0" borderId="0" xfId="57" applyNumberFormat="1" applyFont="1" applyFill="1" applyBorder="1" applyAlignment="1">
      <alignment horizontal="center" vertical="center" wrapText="1"/>
      <protection/>
    </xf>
    <xf numFmtId="3" fontId="6" fillId="0" borderId="0" xfId="57" applyNumberFormat="1" applyFont="1" applyFill="1" applyBorder="1" applyAlignment="1">
      <alignment horizontal="center" vertical="center" wrapText="1"/>
      <protection/>
    </xf>
    <xf numFmtId="1" fontId="11" fillId="0" borderId="0" xfId="71" applyNumberFormat="1" applyFont="1" applyFill="1" applyBorder="1" applyAlignment="1">
      <alignment horizontal="left" vertical="center" wrapText="1"/>
    </xf>
    <xf numFmtId="49" fontId="11" fillId="0" borderId="0" xfId="71" applyNumberFormat="1" applyFont="1" applyFill="1" applyBorder="1" applyAlignment="1">
      <alignment horizontal="center" vertical="center" wrapText="1"/>
    </xf>
    <xf numFmtId="0" fontId="11" fillId="0" borderId="0" xfId="57" applyFont="1" applyFill="1" applyBorder="1" applyAlignment="1">
      <alignment horizontal="left" vertical="center"/>
      <protection/>
    </xf>
    <xf numFmtId="49" fontId="11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1" fontId="6" fillId="0" borderId="0" xfId="71" applyNumberFormat="1" applyFont="1" applyFill="1" applyBorder="1" applyAlignment="1">
      <alignment horizontal="left" vertical="center" wrapText="1"/>
    </xf>
    <xf numFmtId="49" fontId="6" fillId="0" borderId="0" xfId="71" applyNumberFormat="1" applyFont="1" applyFill="1" applyBorder="1" applyAlignment="1">
      <alignment horizontal="center" vertical="center" wrapText="1"/>
    </xf>
    <xf numFmtId="3" fontId="6" fillId="0" borderId="0" xfId="71" applyNumberFormat="1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 vertical="center"/>
      <protection/>
    </xf>
    <xf numFmtId="3" fontId="7" fillId="0" borderId="0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1" fontId="13" fillId="0" borderId="0" xfId="71" applyNumberFormat="1" applyFont="1" applyFill="1" applyBorder="1" applyAlignment="1">
      <alignment horizontal="left" vertical="center" wrapText="1"/>
    </xf>
    <xf numFmtId="188" fontId="13" fillId="0" borderId="0" xfId="71" applyNumberFormat="1" applyFont="1" applyFill="1" applyBorder="1" applyAlignment="1">
      <alignment horizontal="center" vertical="center" wrapText="1"/>
    </xf>
    <xf numFmtId="0" fontId="14" fillId="0" borderId="0" xfId="57" applyFont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8" fillId="0" borderId="0" xfId="66" applyFont="1" applyAlignment="1">
      <alignment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11" fillId="0" borderId="0" xfId="66" applyFont="1" applyFill="1" applyBorder="1" applyAlignment="1">
      <alignment vertical="center" wrapText="1"/>
      <protection/>
    </xf>
    <xf numFmtId="49" fontId="11" fillId="0" borderId="0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Alignment="1">
      <alignment vertical="center"/>
      <protection/>
    </xf>
    <xf numFmtId="0" fontId="6" fillId="0" borderId="0" xfId="66" applyFont="1" applyFill="1" applyBorder="1" applyAlignment="1">
      <alignment vertical="center" wrapText="1"/>
      <protection/>
    </xf>
    <xf numFmtId="49" fontId="6" fillId="0" borderId="0" xfId="66" applyNumberFormat="1" applyFont="1" applyFill="1" applyBorder="1" applyAlignment="1">
      <alignment horizontal="center" vertical="center" wrapText="1"/>
      <protection/>
    </xf>
    <xf numFmtId="49" fontId="15" fillId="0" borderId="0" xfId="66" applyNumberFormat="1" applyFont="1" applyFill="1" applyBorder="1" applyAlignment="1">
      <alignment horizontal="center" vertical="center" wrapText="1"/>
      <protection/>
    </xf>
    <xf numFmtId="0" fontId="13" fillId="0" borderId="0" xfId="66" applyFont="1" applyFill="1" applyBorder="1" applyAlignment="1">
      <alignment vertical="center" wrapText="1"/>
      <protection/>
    </xf>
    <xf numFmtId="49" fontId="13" fillId="0" borderId="0" xfId="66" applyNumberFormat="1" applyFont="1" applyFill="1" applyBorder="1" applyAlignment="1">
      <alignment horizontal="center" vertical="center" wrapText="1"/>
      <protection/>
    </xf>
    <xf numFmtId="3" fontId="6" fillId="0" borderId="0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Fill="1" applyAlignment="1">
      <alignment vertical="center"/>
      <protection/>
    </xf>
    <xf numFmtId="0" fontId="11" fillId="0" borderId="0" xfId="66" applyFont="1" applyFill="1" applyBorder="1" applyAlignment="1" quotePrefix="1">
      <alignment vertical="center" wrapText="1"/>
      <protection/>
    </xf>
    <xf numFmtId="49" fontId="11" fillId="0" borderId="0" xfId="66" applyNumberFormat="1" applyFont="1" applyFill="1" applyBorder="1" applyAlignment="1" quotePrefix="1">
      <alignment horizontal="center" vertical="center" wrapText="1"/>
      <protection/>
    </xf>
    <xf numFmtId="0" fontId="7" fillId="0" borderId="0" xfId="66" applyFont="1" applyFill="1" applyBorder="1" applyAlignment="1">
      <alignment vertical="center" wrapText="1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189" fontId="13" fillId="0" borderId="0" xfId="6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3" fontId="13" fillId="0" borderId="0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Border="1" applyAlignment="1">
      <alignment vertical="center"/>
      <protection/>
    </xf>
    <xf numFmtId="3" fontId="7" fillId="0" borderId="0" xfId="66" applyNumberFormat="1" applyFont="1" applyBorder="1" applyAlignment="1">
      <alignment horizontal="center" vertical="center"/>
      <protection/>
    </xf>
    <xf numFmtId="188" fontId="13" fillId="0" borderId="0" xfId="71" applyNumberFormat="1" applyFont="1" applyFill="1" applyBorder="1" applyAlignment="1">
      <alignment horizontal="right" vertical="center" wrapText="1"/>
    </xf>
    <xf numFmtId="4" fontId="7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189" fontId="4" fillId="0" borderId="0" xfId="68" applyNumberFormat="1" applyFont="1" applyFill="1" applyBorder="1" applyAlignment="1">
      <alignment vertical="center"/>
    </xf>
    <xf numFmtId="189" fontId="4" fillId="0" borderId="10" xfId="68" applyNumberFormat="1" applyFont="1" applyFill="1" applyBorder="1" applyAlignment="1">
      <alignment vertical="center"/>
    </xf>
    <xf numFmtId="189" fontId="7" fillId="0" borderId="11" xfId="68" applyNumberFormat="1" applyFont="1" applyFill="1" applyBorder="1" applyAlignment="1">
      <alignment vertical="center"/>
    </xf>
    <xf numFmtId="189" fontId="7" fillId="0" borderId="0" xfId="68" applyNumberFormat="1" applyFont="1" applyFill="1" applyBorder="1" applyAlignment="1">
      <alignment vertical="center"/>
    </xf>
    <xf numFmtId="189" fontId="4" fillId="0" borderId="0" xfId="68" applyNumberFormat="1" applyFont="1" applyFill="1" applyBorder="1" applyAlignment="1">
      <alignment vertical="center" wrapText="1"/>
    </xf>
    <xf numFmtId="189" fontId="4" fillId="0" borderId="10" xfId="68" applyNumberFormat="1" applyFont="1" applyFill="1" applyBorder="1" applyAlignment="1">
      <alignment vertical="center" wrapText="1"/>
    </xf>
    <xf numFmtId="189" fontId="11" fillId="0" borderId="0" xfId="68" applyNumberFormat="1" applyFont="1" applyFill="1" applyBorder="1" applyAlignment="1">
      <alignment vertical="center" wrapText="1"/>
    </xf>
    <xf numFmtId="189" fontId="11" fillId="0" borderId="10" xfId="68" applyNumberFormat="1" applyFont="1" applyFill="1" applyBorder="1" applyAlignment="1">
      <alignment vertical="center" wrapText="1"/>
    </xf>
    <xf numFmtId="189" fontId="15" fillId="0" borderId="0" xfId="68" applyNumberFormat="1" applyFont="1" applyFill="1" applyBorder="1" applyAlignment="1">
      <alignment vertical="center" wrapText="1"/>
    </xf>
    <xf numFmtId="189" fontId="6" fillId="0" borderId="12" xfId="68" applyNumberFormat="1" applyFont="1" applyFill="1" applyBorder="1" applyAlignment="1">
      <alignment vertical="center" wrapText="1"/>
    </xf>
    <xf numFmtId="189" fontId="6" fillId="0" borderId="0" xfId="68" applyNumberFormat="1" applyFont="1" applyFill="1" applyBorder="1" applyAlignment="1">
      <alignment vertical="center" wrapText="1"/>
    </xf>
    <xf numFmtId="189" fontId="6" fillId="0" borderId="0" xfId="66" applyNumberFormat="1" applyFont="1" applyFill="1" applyBorder="1" applyAlignment="1">
      <alignment vertical="center" wrapText="1"/>
      <protection/>
    </xf>
    <xf numFmtId="189" fontId="11" fillId="0" borderId="0" xfId="66" applyNumberFormat="1" applyFont="1" applyFill="1" applyBorder="1" applyAlignment="1">
      <alignment vertical="center" wrapText="1"/>
      <protection/>
    </xf>
    <xf numFmtId="189" fontId="11" fillId="0" borderId="0" xfId="66" applyNumberFormat="1" applyFont="1" applyFill="1" applyBorder="1" applyAlignment="1" quotePrefix="1">
      <alignment vertical="center" wrapText="1"/>
      <protection/>
    </xf>
    <xf numFmtId="189" fontId="4" fillId="0" borderId="0" xfId="0" applyNumberFormat="1" applyFont="1" applyFill="1" applyBorder="1" applyAlignment="1">
      <alignment vertical="center"/>
    </xf>
    <xf numFmtId="189" fontId="11" fillId="0" borderId="10" xfId="66" applyNumberFormat="1" applyFont="1" applyFill="1" applyBorder="1" applyAlignment="1">
      <alignment vertical="center" wrapText="1"/>
      <protection/>
    </xf>
    <xf numFmtId="189" fontId="7" fillId="0" borderId="11" xfId="66" applyNumberFormat="1" applyFont="1" applyFill="1" applyBorder="1" applyAlignment="1">
      <alignment vertical="center"/>
      <protection/>
    </xf>
    <xf numFmtId="189" fontId="7" fillId="0" borderId="0" xfId="66" applyNumberFormat="1" applyFont="1" applyFill="1" applyBorder="1" applyAlignment="1">
      <alignment vertical="center"/>
      <protection/>
    </xf>
    <xf numFmtId="189" fontId="7" fillId="0" borderId="12" xfId="66" applyNumberFormat="1" applyFont="1" applyFill="1" applyBorder="1" applyAlignment="1">
      <alignment vertical="center"/>
      <protection/>
    </xf>
    <xf numFmtId="189" fontId="8" fillId="0" borderId="0" xfId="66" applyNumberFormat="1" applyFont="1" applyFill="1" applyBorder="1" applyAlignment="1">
      <alignment vertical="center" wrapText="1"/>
      <protection/>
    </xf>
    <xf numFmtId="189" fontId="15" fillId="0" borderId="0" xfId="66" applyNumberFormat="1" applyFont="1" applyFill="1" applyBorder="1" applyAlignment="1">
      <alignment vertical="center" wrapText="1"/>
      <protection/>
    </xf>
    <xf numFmtId="189" fontId="6" fillId="0" borderId="12" xfId="66" applyNumberFormat="1" applyFont="1" applyFill="1" applyBorder="1" applyAlignment="1">
      <alignment vertical="center" wrapText="1"/>
      <protection/>
    </xf>
    <xf numFmtId="189" fontId="11" fillId="0" borderId="0" xfId="71" applyNumberFormat="1" applyFont="1" applyFill="1" applyBorder="1" applyAlignment="1">
      <alignment vertical="center" wrapText="1"/>
    </xf>
    <xf numFmtId="189" fontId="4" fillId="0" borderId="0" xfId="57" applyNumberFormat="1" applyFont="1" applyFill="1" applyBorder="1" applyAlignment="1">
      <alignment vertical="center" wrapText="1"/>
      <protection/>
    </xf>
    <xf numFmtId="189" fontId="11" fillId="0" borderId="0" xfId="57" applyNumberFormat="1" applyFont="1" applyFill="1" applyBorder="1" applyAlignment="1">
      <alignment vertical="center"/>
      <protection/>
    </xf>
    <xf numFmtId="189" fontId="7" fillId="0" borderId="13" xfId="68" applyNumberFormat="1" applyFont="1" applyFill="1" applyBorder="1" applyAlignment="1">
      <alignment vertical="center"/>
    </xf>
    <xf numFmtId="189" fontId="6" fillId="0" borderId="0" xfId="57" applyNumberFormat="1" applyFont="1" applyFill="1" applyBorder="1" applyAlignment="1">
      <alignment vertical="center"/>
      <protection/>
    </xf>
    <xf numFmtId="189" fontId="6" fillId="0" borderId="0" xfId="71" applyNumberFormat="1" applyFont="1" applyFill="1" applyBorder="1" applyAlignment="1">
      <alignment vertical="center" wrapText="1"/>
    </xf>
    <xf numFmtId="189" fontId="6" fillId="0" borderId="0" xfId="57" applyNumberFormat="1" applyFont="1" applyFill="1" applyBorder="1" applyAlignment="1">
      <alignment vertical="center" wrapText="1"/>
      <protection/>
    </xf>
    <xf numFmtId="193" fontId="11" fillId="0" borderId="0" xfId="68" applyNumberFormat="1" applyFont="1" applyFill="1" applyBorder="1" applyAlignment="1">
      <alignment vertical="center" wrapText="1"/>
    </xf>
    <xf numFmtId="193" fontId="11" fillId="0" borderId="0" xfId="71" applyNumberFormat="1" applyFont="1" applyFill="1" applyBorder="1" applyAlignment="1">
      <alignment vertical="center" wrapText="1"/>
    </xf>
    <xf numFmtId="193" fontId="11" fillId="0" borderId="10" xfId="68" applyNumberFormat="1" applyFont="1" applyFill="1" applyBorder="1" applyAlignment="1">
      <alignment vertical="center" wrapText="1"/>
    </xf>
    <xf numFmtId="193" fontId="7" fillId="0" borderId="0" xfId="68" applyNumberFormat="1" applyFont="1" applyFill="1" applyBorder="1" applyAlignment="1">
      <alignment vertical="center"/>
    </xf>
    <xf numFmtId="193" fontId="7" fillId="0" borderId="0" xfId="68" applyNumberFormat="1" applyFont="1" applyFill="1" applyBorder="1" applyAlignment="1">
      <alignment vertical="center" wrapText="1"/>
    </xf>
    <xf numFmtId="193" fontId="7" fillId="0" borderId="11" xfId="68" applyNumberFormat="1" applyFont="1" applyFill="1" applyBorder="1" applyAlignment="1">
      <alignment vertical="center"/>
    </xf>
    <xf numFmtId="193" fontId="7" fillId="0" borderId="0" xfId="66" applyNumberFormat="1" applyFont="1" applyFill="1" applyBorder="1" applyAlignment="1">
      <alignment vertical="center" wrapText="1"/>
      <protection/>
    </xf>
    <xf numFmtId="193" fontId="7" fillId="0" borderId="13" xfId="6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vertical="top" wrapText="1"/>
      <protection/>
    </xf>
    <xf numFmtId="189" fontId="8" fillId="0" borderId="0" xfId="57" applyNumberFormat="1" applyFont="1" applyAlignment="1">
      <alignment horizontal="center" vertical="center"/>
      <protection/>
    </xf>
    <xf numFmtId="205" fontId="8" fillId="0" borderId="0" xfId="68" applyNumberFormat="1" applyFont="1" applyAlignment="1">
      <alignment horizontal="center" vertical="center"/>
    </xf>
    <xf numFmtId="193" fontId="8" fillId="0" borderId="0" xfId="57" applyNumberFormat="1" applyFont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0" xfId="66" applyFont="1" applyFill="1" applyBorder="1" applyAlignment="1">
      <alignment horizontal="right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1" fontId="4" fillId="0" borderId="0" xfId="68" applyNumberFormat="1" applyFont="1" applyFill="1" applyBorder="1" applyAlignment="1">
      <alignment horizontal="center" vertical="center" wrapText="1"/>
    </xf>
    <xf numFmtId="189" fontId="11" fillId="0" borderId="0" xfId="68" applyNumberFormat="1" applyFont="1" applyFill="1" applyBorder="1" applyAlignment="1">
      <alignment horizontal="center" vertical="center" wrapText="1"/>
    </xf>
    <xf numFmtId="189" fontId="11" fillId="0" borderId="10" xfId="68" applyNumberFormat="1" applyFont="1" applyFill="1" applyBorder="1" applyAlignment="1">
      <alignment horizontal="center" vertical="center" wrapText="1"/>
    </xf>
    <xf numFmtId="189" fontId="6" fillId="0" borderId="0" xfId="68" applyNumberFormat="1" applyFont="1" applyFill="1" applyBorder="1" applyAlignment="1">
      <alignment horizontal="center" vertical="center" wrapText="1"/>
    </xf>
    <xf numFmtId="41" fontId="7" fillId="0" borderId="0" xfId="68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89" fontId="11" fillId="0" borderId="11" xfId="6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9" fontId="11" fillId="0" borderId="12" xfId="68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/>
      <protection/>
    </xf>
    <xf numFmtId="3" fontId="8" fillId="0" borderId="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5" fillId="0" borderId="0" xfId="55" applyAlignment="1">
      <alignment vertical="center"/>
      <protection/>
    </xf>
    <xf numFmtId="0" fontId="35" fillId="0" borderId="0" xfId="55" applyFill="1" applyBorder="1" applyAlignment="1">
      <alignment vertical="center"/>
      <protection/>
    </xf>
    <xf numFmtId="3" fontId="35" fillId="0" borderId="0" xfId="55" applyNumberFormat="1" applyFill="1" applyBorder="1" applyAlignment="1">
      <alignment horizontal="right" vertical="center"/>
      <protection/>
    </xf>
    <xf numFmtId="0" fontId="35" fillId="0" borderId="0" xfId="55" applyFill="1" applyBorder="1" applyAlignment="1">
      <alignment horizontal="left" vertical="center" wrapText="1"/>
      <protection/>
    </xf>
    <xf numFmtId="3" fontId="7" fillId="0" borderId="0" xfId="66" applyNumberFormat="1" applyFont="1" applyFill="1" applyBorder="1" applyAlignment="1">
      <alignment horizontal="right" vertical="center"/>
      <protection/>
    </xf>
    <xf numFmtId="3" fontId="36" fillId="0" borderId="0" xfId="55" applyNumberFormat="1" applyFont="1" applyFill="1" applyBorder="1" applyAlignment="1">
      <alignment horizontal="right" vertical="center"/>
      <protection/>
    </xf>
    <xf numFmtId="0" fontId="36" fillId="0" borderId="0" xfId="55" applyFont="1" applyFill="1" applyBorder="1" applyAlignment="1">
      <alignment horizontal="left" vertical="center" wrapText="1"/>
      <protection/>
    </xf>
    <xf numFmtId="3" fontId="36" fillId="0" borderId="0" xfId="55" applyNumberFormat="1" applyFont="1" applyFill="1" applyBorder="1" applyAlignment="1">
      <alignment vertical="center"/>
      <protection/>
    </xf>
    <xf numFmtId="3" fontId="36" fillId="0" borderId="0" xfId="55" applyNumberFormat="1" applyFont="1" applyFill="1" applyBorder="1" applyAlignment="1">
      <alignment horizontal="center" vertical="center" wrapText="1"/>
      <protection/>
    </xf>
    <xf numFmtId="3" fontId="36" fillId="0" borderId="0" xfId="55" applyNumberFormat="1" applyFont="1" applyFill="1" applyBorder="1" applyAlignment="1">
      <alignment horizontal="center" vertical="center" wrapText="1"/>
      <protection/>
    </xf>
    <xf numFmtId="0" fontId="36" fillId="0" borderId="0" xfId="55" applyFont="1" applyAlignment="1">
      <alignment vertical="center"/>
      <protection/>
    </xf>
    <xf numFmtId="0" fontId="36" fillId="0" borderId="0" xfId="55" applyFont="1" applyFill="1" applyBorder="1" applyAlignment="1">
      <alignment vertical="center"/>
      <protection/>
    </xf>
    <xf numFmtId="3" fontId="35" fillId="0" borderId="0" xfId="55" applyNumberFormat="1" applyFont="1" applyFill="1" applyBorder="1" applyAlignment="1">
      <alignment horizontal="right" vertical="center"/>
      <protection/>
    </xf>
    <xf numFmtId="193" fontId="36" fillId="0" borderId="0" xfId="55" applyNumberFormat="1" applyFont="1" applyFill="1" applyBorder="1" applyAlignment="1">
      <alignment horizontal="right" vertical="top"/>
      <protection/>
    </xf>
    <xf numFmtId="193" fontId="36" fillId="0" borderId="12" xfId="55" applyNumberFormat="1" applyFont="1" applyFill="1" applyBorder="1" applyAlignment="1">
      <alignment horizontal="right" vertical="top"/>
      <protection/>
    </xf>
    <xf numFmtId="0" fontId="35" fillId="0" borderId="0" xfId="55" applyFont="1" applyAlignment="1">
      <alignment vertical="center"/>
      <protection/>
    </xf>
    <xf numFmtId="193" fontId="36" fillId="0" borderId="10" xfId="55" applyNumberFormat="1" applyFont="1" applyFill="1" applyBorder="1" applyAlignment="1">
      <alignment horizontal="right" vertical="top"/>
      <protection/>
    </xf>
    <xf numFmtId="193" fontId="35" fillId="0" borderId="10" xfId="55" applyNumberFormat="1" applyFont="1" applyFill="1" applyBorder="1" applyAlignment="1">
      <alignment horizontal="right" vertical="top"/>
      <protection/>
    </xf>
    <xf numFmtId="193" fontId="35" fillId="0" borderId="0" xfId="55" applyNumberFormat="1" applyFont="1" applyFill="1" applyBorder="1" applyAlignment="1">
      <alignment horizontal="right" vertical="top"/>
      <protection/>
    </xf>
    <xf numFmtId="3" fontId="35" fillId="0" borderId="10" xfId="55" applyNumberFormat="1" applyFill="1" applyBorder="1" applyAlignment="1">
      <alignment horizontal="right" vertical="center"/>
      <protection/>
    </xf>
    <xf numFmtId="0" fontId="37" fillId="0" borderId="0" xfId="55" applyFont="1" applyFill="1" applyBorder="1" applyAlignment="1">
      <alignment horizontal="left" vertical="center" wrapText="1"/>
      <protection/>
    </xf>
    <xf numFmtId="0" fontId="35" fillId="0" borderId="0" xfId="55" applyFont="1" applyFill="1" applyBorder="1" applyAlignment="1">
      <alignment vertical="center"/>
      <protection/>
    </xf>
    <xf numFmtId="193" fontId="36" fillId="0" borderId="0" xfId="55" applyNumberFormat="1" applyFont="1" applyFill="1" applyBorder="1" applyAlignment="1">
      <alignment vertical="center" wrapText="1"/>
      <protection/>
    </xf>
    <xf numFmtId="0" fontId="36" fillId="0" borderId="10" xfId="55" applyFont="1" applyFill="1" applyBorder="1" applyAlignment="1">
      <alignment vertical="center" wrapText="1"/>
      <protection/>
    </xf>
    <xf numFmtId="0" fontId="35" fillId="0" borderId="0" xfId="55" applyFill="1" applyBorder="1" applyAlignment="1">
      <alignment vertical="center" wrapText="1"/>
      <protection/>
    </xf>
    <xf numFmtId="0" fontId="35" fillId="0" borderId="10" xfId="55" applyFill="1" applyBorder="1" applyAlignment="1">
      <alignment vertical="center" wrapText="1"/>
      <protection/>
    </xf>
    <xf numFmtId="0" fontId="7" fillId="0" borderId="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7" fillId="0" borderId="0" xfId="59" applyNumberFormat="1" applyFont="1" applyFill="1" applyBorder="1" applyAlignment="1">
      <alignment horizontal="center" vertical="center" wrapText="1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10" fillId="0" borderId="0" xfId="58" applyNumberFormat="1" applyFont="1" applyFill="1" applyBorder="1" applyAlignment="1">
      <alignment horizontal="right"/>
      <protection/>
    </xf>
    <xf numFmtId="3" fontId="38" fillId="0" borderId="0" xfId="55" applyNumberFormat="1" applyFont="1" applyFill="1" applyBorder="1" applyAlignment="1">
      <alignment horizontal="right" vertical="center"/>
      <protection/>
    </xf>
    <xf numFmtId="0" fontId="35" fillId="0" borderId="0" xfId="55">
      <alignment/>
      <protection/>
    </xf>
    <xf numFmtId="3" fontId="35" fillId="0" borderId="0" xfId="55" applyNumberFormat="1" applyFill="1" applyBorder="1" applyAlignment="1">
      <alignment horizontal="right" vertical="top"/>
      <protection/>
    </xf>
    <xf numFmtId="0" fontId="35" fillId="0" borderId="0" xfId="55" applyFill="1" applyBorder="1" applyAlignment="1">
      <alignment horizontal="left" vertical="top" wrapText="1"/>
      <protection/>
    </xf>
    <xf numFmtId="3" fontId="36" fillId="0" borderId="0" xfId="55" applyNumberFormat="1" applyFont="1" applyFill="1" applyBorder="1" applyAlignment="1">
      <alignment horizontal="right" vertical="top"/>
      <protection/>
    </xf>
    <xf numFmtId="0" fontId="36" fillId="0" borderId="0" xfId="55" applyFont="1">
      <alignment/>
      <protection/>
    </xf>
    <xf numFmtId="3" fontId="35" fillId="0" borderId="0" xfId="55" applyNumberFormat="1" applyFont="1" applyFill="1" applyBorder="1" applyAlignment="1">
      <alignment horizontal="right" vertical="top"/>
      <protection/>
    </xf>
    <xf numFmtId="0" fontId="36" fillId="0" borderId="0" xfId="55" applyFont="1" applyFill="1" applyBorder="1" applyAlignment="1">
      <alignment horizontal="left" vertical="top" wrapText="1"/>
      <protection/>
    </xf>
    <xf numFmtId="193" fontId="36" fillId="0" borderId="12" xfId="55" applyNumberFormat="1" applyFont="1" applyFill="1" applyBorder="1" applyAlignment="1">
      <alignment horizontal="center" vertical="center" wrapText="1"/>
      <protection/>
    </xf>
    <xf numFmtId="193" fontId="36" fillId="0" borderId="0" xfId="55" applyNumberFormat="1" applyFont="1" applyFill="1" applyBorder="1" applyAlignment="1">
      <alignment horizontal="center" vertical="center" wrapText="1"/>
      <protection/>
    </xf>
    <xf numFmtId="0" fontId="35" fillId="0" borderId="0" xfId="55" applyFont="1">
      <alignment/>
      <protection/>
    </xf>
    <xf numFmtId="3" fontId="35" fillId="0" borderId="0" xfId="55" applyNumberFormat="1" applyFont="1" applyBorder="1" applyAlignment="1">
      <alignment horizontal="right" vertical="top"/>
      <protection/>
    </xf>
    <xf numFmtId="193" fontId="0" fillId="0" borderId="0" xfId="70" applyNumberFormat="1" applyFont="1" applyFill="1" applyBorder="1" applyAlignment="1">
      <alignment horizontal="right" vertical="top" wrapText="1"/>
    </xf>
    <xf numFmtId="193" fontId="0" fillId="0" borderId="10" xfId="70" applyNumberFormat="1" applyFont="1" applyFill="1" applyBorder="1" applyAlignment="1">
      <alignment horizontal="right" vertical="top" wrapText="1"/>
    </xf>
    <xf numFmtId="193" fontId="36" fillId="0" borderId="0" xfId="70" applyNumberFormat="1" applyFont="1" applyFill="1" applyBorder="1" applyAlignment="1">
      <alignment horizontal="right" vertical="top"/>
    </xf>
    <xf numFmtId="193" fontId="36" fillId="0" borderId="11" xfId="55" applyNumberFormat="1" applyFont="1" applyFill="1" applyBorder="1" applyAlignment="1">
      <alignment horizontal="right" vertical="top"/>
      <protection/>
    </xf>
    <xf numFmtId="193" fontId="36" fillId="0" borderId="11" xfId="70" applyNumberFormat="1" applyFont="1" applyFill="1" applyBorder="1" applyAlignment="1">
      <alignment horizontal="right" vertical="top"/>
    </xf>
    <xf numFmtId="193" fontId="35" fillId="0" borderId="0" xfId="70" applyNumberFormat="1" applyFont="1" applyFill="1" applyBorder="1" applyAlignment="1">
      <alignment horizontal="right" vertical="top"/>
    </xf>
    <xf numFmtId="193" fontId="35" fillId="0" borderId="10" xfId="70" applyNumberFormat="1" applyFont="1" applyFill="1" applyBorder="1" applyAlignment="1">
      <alignment horizontal="right" vertical="top"/>
    </xf>
    <xf numFmtId="193" fontId="35" fillId="0" borderId="0" xfId="55" applyNumberFormat="1" applyFill="1" applyBorder="1" applyAlignment="1">
      <alignment horizontal="right" vertical="top"/>
      <protection/>
    </xf>
    <xf numFmtId="193" fontId="35" fillId="0" borderId="10" xfId="55" applyNumberFormat="1" applyFill="1" applyBorder="1" applyAlignment="1">
      <alignment horizontal="right" vertical="top"/>
      <protection/>
    </xf>
    <xf numFmtId="193" fontId="0" fillId="0" borderId="0" xfId="70" applyNumberFormat="1" applyFont="1" applyFill="1" applyBorder="1" applyAlignment="1">
      <alignment horizontal="right" vertical="top"/>
    </xf>
    <xf numFmtId="0" fontId="37" fillId="0" borderId="0" xfId="55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35" fillId="0" borderId="0" xfId="55" applyFill="1" applyBorder="1" applyAlignment="1">
      <alignment wrapText="1"/>
      <protection/>
    </xf>
    <xf numFmtId="0" fontId="35" fillId="0" borderId="10" xfId="55" applyFill="1" applyBorder="1" applyAlignment="1">
      <alignment wrapText="1"/>
      <protection/>
    </xf>
    <xf numFmtId="0" fontId="7" fillId="0" borderId="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ook1" xfId="33"/>
    <cellStyle name="Normal_ATF Bank_2008_M_Securities_WP_D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God_Формы фин.отчетности_BWU_09_11_03" xfId="56"/>
    <cellStyle name="Обычный_Лист1" xfId="57"/>
    <cellStyle name="Обычный_Лист1 2" xfId="58"/>
    <cellStyle name="Обычный_Формы ФО для НПФ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_Лист1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zoomScalePageLayoutView="0" workbookViewId="0" topLeftCell="A37">
      <selection activeCell="A46" sqref="A46"/>
    </sheetView>
  </sheetViews>
  <sheetFormatPr defaultColWidth="9.00390625" defaultRowHeight="12.75" outlineLevelCol="1"/>
  <cols>
    <col min="1" max="1" width="46.875" style="16" customWidth="1"/>
    <col min="2" max="2" width="6.625" style="17" customWidth="1" outlineLevel="1"/>
    <col min="3" max="3" width="19.25390625" style="18" customWidth="1"/>
    <col min="4" max="4" width="1.75390625" style="18" customWidth="1"/>
    <col min="5" max="5" width="17.625" style="18" customWidth="1"/>
    <col min="6" max="34" width="16.75390625" style="20" customWidth="1"/>
    <col min="35" max="16384" width="9.125" style="20" customWidth="1"/>
  </cols>
  <sheetData>
    <row r="1" ht="12.75">
      <c r="E1" s="19" t="s">
        <v>62</v>
      </c>
    </row>
    <row r="2" spans="5:9" ht="12.75" customHeight="1">
      <c r="E2" s="8" t="s">
        <v>68</v>
      </c>
      <c r="F2" s="21"/>
      <c r="G2" s="21"/>
      <c r="H2" s="21"/>
      <c r="I2" s="21"/>
    </row>
    <row r="3" spans="1:19" ht="12.75">
      <c r="A3" s="1"/>
      <c r="B3" s="2"/>
      <c r="C3" s="3"/>
      <c r="D3" s="3"/>
      <c r="E3" s="8" t="s">
        <v>63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6:19" ht="12.75" customHeight="1"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0"/>
      <c r="B5" s="23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20" t="s">
        <v>0</v>
      </c>
      <c r="B6" s="120"/>
      <c r="C6" s="120"/>
      <c r="D6" s="120"/>
      <c r="E6" s="1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45" customHeight="1">
      <c r="A7" s="24"/>
      <c r="B7" s="25" t="s">
        <v>90</v>
      </c>
      <c r="C7" s="26" t="s">
        <v>64</v>
      </c>
      <c r="D7" s="27"/>
      <c r="E7" s="26" t="s">
        <v>65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2.75">
      <c r="A8" s="28" t="s">
        <v>2</v>
      </c>
      <c r="B8" s="29"/>
      <c r="C8" s="30"/>
      <c r="D8" s="30"/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.75">
      <c r="A9" s="31" t="s">
        <v>3</v>
      </c>
      <c r="B9" s="32" t="s">
        <v>81</v>
      </c>
      <c r="C9" s="83">
        <f>198378941+16023433</f>
        <v>214402374</v>
      </c>
      <c r="D9" s="99"/>
      <c r="E9" s="83">
        <v>199981647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38.25">
      <c r="A10" s="1" t="s">
        <v>79</v>
      </c>
      <c r="B10" s="2"/>
      <c r="C10" s="83"/>
      <c r="D10" s="100"/>
      <c r="E10" s="8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2.75">
      <c r="A11" s="1" t="s">
        <v>25</v>
      </c>
      <c r="B11" s="2" t="s">
        <v>87</v>
      </c>
      <c r="C11" s="83">
        <v>169504</v>
      </c>
      <c r="D11" s="83"/>
      <c r="E11" s="83">
        <v>113184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25.5">
      <c r="A12" s="1" t="s">
        <v>24</v>
      </c>
      <c r="B12" s="2"/>
      <c r="C12" s="83"/>
      <c r="D12" s="100"/>
      <c r="E12" s="8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.75">
      <c r="A13" s="1" t="s">
        <v>25</v>
      </c>
      <c r="B13" s="2" t="s">
        <v>88</v>
      </c>
      <c r="C13" s="83">
        <v>21914946</v>
      </c>
      <c r="D13" s="100"/>
      <c r="E13" s="83">
        <v>3619491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.75">
      <c r="A14" s="31" t="s">
        <v>15</v>
      </c>
      <c r="B14" s="32" t="s">
        <v>55</v>
      </c>
      <c r="C14" s="83">
        <v>9436783</v>
      </c>
      <c r="D14" s="99"/>
      <c r="E14" s="83">
        <v>8606203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.75">
      <c r="A15" s="1" t="s">
        <v>16</v>
      </c>
      <c r="B15" s="2" t="s">
        <v>56</v>
      </c>
      <c r="C15" s="83">
        <v>623758939</v>
      </c>
      <c r="D15" s="100"/>
      <c r="E15" s="83">
        <v>558211933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.75">
      <c r="A16" s="31" t="s">
        <v>26</v>
      </c>
      <c r="B16" s="32"/>
      <c r="C16" s="83">
        <v>1023852</v>
      </c>
      <c r="D16" s="99"/>
      <c r="E16" s="83">
        <v>1040173</v>
      </c>
      <c r="F16" s="117"/>
      <c r="G16" s="1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.75">
      <c r="A17" s="31" t="s">
        <v>17</v>
      </c>
      <c r="B17" s="32"/>
      <c r="C17" s="83">
        <v>19553486</v>
      </c>
      <c r="D17" s="99"/>
      <c r="E17" s="83">
        <v>19725263</v>
      </c>
      <c r="F17" s="22"/>
      <c r="G17" s="117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.75">
      <c r="A18" s="31" t="s">
        <v>27</v>
      </c>
      <c r="B18" s="32"/>
      <c r="C18" s="83">
        <v>5164736</v>
      </c>
      <c r="D18" s="99"/>
      <c r="E18" s="83">
        <v>5164736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33" t="s">
        <v>4</v>
      </c>
      <c r="B19" s="34" t="s">
        <v>57</v>
      </c>
      <c r="C19" s="83">
        <f>8330279+1313+1</f>
        <v>8331593</v>
      </c>
      <c r="D19" s="101"/>
      <c r="E19" s="83">
        <v>22529778</v>
      </c>
      <c r="F19" s="3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3.5" thickBot="1">
      <c r="A20" s="36" t="s">
        <v>61</v>
      </c>
      <c r="B20" s="37"/>
      <c r="C20" s="102">
        <f>SUM(C9:C19)</f>
        <v>903756213</v>
      </c>
      <c r="D20" s="103"/>
      <c r="E20" s="102">
        <f>SUM(E9:E19)</f>
        <v>818992408</v>
      </c>
      <c r="F20" s="3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7.5" customHeight="1" thickTop="1">
      <c r="A21" s="36"/>
      <c r="B21" s="37"/>
      <c r="C21" s="103"/>
      <c r="D21" s="103"/>
      <c r="E21" s="103"/>
      <c r="F21" s="3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36" t="s">
        <v>5</v>
      </c>
      <c r="B22" s="37"/>
      <c r="C22" s="104"/>
      <c r="D22" s="104"/>
      <c r="E22" s="104"/>
      <c r="F22" s="3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48.75" customHeight="1">
      <c r="A23" s="1" t="s">
        <v>18</v>
      </c>
      <c r="B23" s="2" t="s">
        <v>87</v>
      </c>
      <c r="C23" s="83">
        <f>376587</f>
        <v>376587</v>
      </c>
      <c r="D23" s="100"/>
      <c r="E23" s="83">
        <v>15660</v>
      </c>
      <c r="F23" s="35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51" customFormat="1" ht="33" customHeight="1">
      <c r="A24" s="31" t="s">
        <v>47</v>
      </c>
      <c r="B24" s="32" t="s">
        <v>58</v>
      </c>
      <c r="C24" s="83">
        <f>9433926</f>
        <v>9433926</v>
      </c>
      <c r="D24" s="99"/>
      <c r="E24" s="83">
        <v>12929211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.75">
      <c r="A25" s="31" t="s">
        <v>19</v>
      </c>
      <c r="B25" s="32" t="s">
        <v>59</v>
      </c>
      <c r="C25" s="83">
        <f>733002547</f>
        <v>733002547</v>
      </c>
      <c r="D25" s="99"/>
      <c r="E25" s="83">
        <v>603955487</v>
      </c>
      <c r="F25" s="3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31" t="s">
        <v>20</v>
      </c>
      <c r="B26" s="32" t="s">
        <v>60</v>
      </c>
      <c r="C26" s="83">
        <v>23460579</v>
      </c>
      <c r="D26" s="99"/>
      <c r="E26" s="83">
        <v>31131142</v>
      </c>
      <c r="F26" s="3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31" t="s">
        <v>21</v>
      </c>
      <c r="B27" s="32" t="s">
        <v>60</v>
      </c>
      <c r="C27" s="83">
        <f>17489886+38858326</f>
        <v>56348212</v>
      </c>
      <c r="D27" s="99"/>
      <c r="E27" s="83">
        <v>92981872</v>
      </c>
      <c r="F27" s="40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31" t="s">
        <v>6</v>
      </c>
      <c r="B28" s="32" t="s">
        <v>89</v>
      </c>
      <c r="C28" s="83">
        <f>451904+2629798-1</f>
        <v>3081701</v>
      </c>
      <c r="D28" s="99"/>
      <c r="E28" s="83">
        <v>3793269</v>
      </c>
      <c r="F28" s="4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36" t="s">
        <v>66</v>
      </c>
      <c r="B29" s="37"/>
      <c r="C29" s="79">
        <f>SUM(C23:C28)</f>
        <v>825703552</v>
      </c>
      <c r="D29" s="104"/>
      <c r="E29" s="79">
        <f>SUM(E23:E28)</f>
        <v>744806641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8.25" customHeight="1">
      <c r="A30" s="36"/>
      <c r="B30" s="37"/>
      <c r="C30" s="104"/>
      <c r="D30" s="104"/>
      <c r="E30" s="104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28" t="s">
        <v>11</v>
      </c>
      <c r="B31" s="29"/>
      <c r="C31" s="105"/>
      <c r="D31" s="105"/>
      <c r="E31" s="104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31" t="s">
        <v>10</v>
      </c>
      <c r="B32" s="32"/>
      <c r="C32" s="106">
        <f>168170444-291974</f>
        <v>167878470</v>
      </c>
      <c r="D32" s="107"/>
      <c r="E32" s="106">
        <f>168170444-291974</f>
        <v>167878470</v>
      </c>
      <c r="F32" s="11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41" t="s">
        <v>48</v>
      </c>
      <c r="B33" s="42"/>
      <c r="C33" s="106">
        <v>1461271</v>
      </c>
      <c r="D33" s="107"/>
      <c r="E33" s="106">
        <v>1461271</v>
      </c>
      <c r="F33" s="11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31" t="s">
        <v>29</v>
      </c>
      <c r="B34" s="32"/>
      <c r="C34" s="106">
        <v>15181181</v>
      </c>
      <c r="D34" s="107"/>
      <c r="E34" s="106">
        <v>15181181</v>
      </c>
      <c r="F34" s="11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25.5">
      <c r="A35" s="31" t="s">
        <v>49</v>
      </c>
      <c r="B35" s="32"/>
      <c r="C35" s="106">
        <v>250280</v>
      </c>
      <c r="D35" s="107"/>
      <c r="E35" s="106">
        <v>-64465</v>
      </c>
      <c r="F35" s="11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31" t="s">
        <v>50</v>
      </c>
      <c r="B36" s="32"/>
      <c r="C36" s="106">
        <v>545351</v>
      </c>
      <c r="D36" s="107"/>
      <c r="E36" s="106">
        <v>-66397</v>
      </c>
      <c r="F36" s="11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.75">
      <c r="A37" s="31" t="s">
        <v>13</v>
      </c>
      <c r="B37" s="32"/>
      <c r="C37" s="108">
        <v>-107521631</v>
      </c>
      <c r="D37" s="107"/>
      <c r="E37" s="108">
        <v>-110417735</v>
      </c>
      <c r="F37" s="11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.75">
      <c r="A38" s="36" t="s">
        <v>51</v>
      </c>
      <c r="B38" s="37"/>
      <c r="C38" s="109">
        <f>C32+C33+C34+C35+C36+C37</f>
        <v>77794922</v>
      </c>
      <c r="D38" s="110"/>
      <c r="E38" s="109">
        <f>E32+E33+E34+E35+E36+E37</f>
        <v>73972325</v>
      </c>
      <c r="F38" s="11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3"/>
      <c r="S38" s="43"/>
    </row>
    <row r="39" spans="1:19" ht="12.75">
      <c r="A39" s="31" t="s">
        <v>28</v>
      </c>
      <c r="B39" s="32"/>
      <c r="C39" s="106">
        <v>257739</v>
      </c>
      <c r="D39" s="107"/>
      <c r="E39" s="106">
        <v>213442</v>
      </c>
      <c r="F39" s="119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43"/>
      <c r="S39" s="43"/>
    </row>
    <row r="40" spans="1:19" ht="12.75">
      <c r="A40" s="36" t="s">
        <v>52</v>
      </c>
      <c r="B40" s="37"/>
      <c r="C40" s="111">
        <f>C38+C39</f>
        <v>78052661</v>
      </c>
      <c r="D40" s="112"/>
      <c r="E40" s="111">
        <f>E38+E39</f>
        <v>74185767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3"/>
      <c r="S40" s="43"/>
    </row>
    <row r="41" spans="1:19" ht="13.5" thickBot="1">
      <c r="A41" s="36" t="s">
        <v>67</v>
      </c>
      <c r="B41" s="37"/>
      <c r="C41" s="113">
        <f>C29+C40</f>
        <v>903756213</v>
      </c>
      <c r="D41" s="112"/>
      <c r="E41" s="113">
        <f>E29+E40</f>
        <v>818992408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43"/>
      <c r="S41" s="43"/>
    </row>
    <row r="42" spans="1:34" ht="21.75" customHeight="1" thickTop="1">
      <c r="A42" s="36"/>
      <c r="B42" s="37"/>
      <c r="C42" s="38"/>
      <c r="D42" s="38"/>
      <c r="E42" s="38"/>
      <c r="F42" s="45"/>
      <c r="G42" s="45"/>
      <c r="H42" s="45"/>
      <c r="I42" s="45"/>
      <c r="J42" s="45"/>
      <c r="K42" s="45"/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5"/>
      <c r="AC42" s="45"/>
      <c r="AD42" s="45"/>
      <c r="AE42" s="45"/>
      <c r="AF42" s="45"/>
      <c r="AG42" s="45"/>
      <c r="AH42" s="45"/>
    </row>
    <row r="43" spans="1:34" ht="30" customHeight="1">
      <c r="A43" s="47" t="s">
        <v>39</v>
      </c>
      <c r="B43" s="32" t="s">
        <v>99</v>
      </c>
      <c r="C43" s="74">
        <v>1.691420292914635</v>
      </c>
      <c r="D43" s="48"/>
      <c r="E43" s="74">
        <v>1.6032656672206496</v>
      </c>
      <c r="F43" s="45"/>
      <c r="G43" s="45"/>
      <c r="H43" s="45"/>
      <c r="I43" s="45"/>
      <c r="J43" s="45"/>
      <c r="K43" s="45"/>
      <c r="L43" s="4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5"/>
      <c r="AC43" s="45"/>
      <c r="AD43" s="45"/>
      <c r="AE43" s="45"/>
      <c r="AF43" s="45"/>
      <c r="AG43" s="45"/>
      <c r="AH43" s="45"/>
    </row>
    <row r="44" spans="1:34" ht="21.75" customHeight="1">
      <c r="A44" s="36"/>
      <c r="B44" s="37"/>
      <c r="C44" s="38"/>
      <c r="D44" s="38"/>
      <c r="E44" s="38"/>
      <c r="F44" s="45"/>
      <c r="G44" s="45"/>
      <c r="H44" s="45"/>
      <c r="I44" s="45"/>
      <c r="J44" s="45"/>
      <c r="K44" s="45"/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5"/>
      <c r="AC44" s="45"/>
      <c r="AD44" s="45"/>
      <c r="AE44" s="45"/>
      <c r="AF44" s="45"/>
      <c r="AG44" s="45"/>
      <c r="AH44" s="45"/>
    </row>
    <row r="45" spans="1:34" ht="27" customHeight="1">
      <c r="A45" s="4" t="s">
        <v>35</v>
      </c>
      <c r="B45" s="5"/>
      <c r="C45" s="6"/>
      <c r="D45" s="6"/>
      <c r="E45" s="6" t="s">
        <v>36</v>
      </c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5"/>
      <c r="AC45" s="45"/>
      <c r="AD45" s="45"/>
      <c r="AE45" s="45"/>
      <c r="AF45" s="45"/>
      <c r="AG45" s="45"/>
      <c r="AH45" s="45"/>
    </row>
    <row r="46" spans="1:34" ht="7.5" customHeight="1">
      <c r="A46" s="4"/>
      <c r="B46" s="5"/>
      <c r="C46" s="6"/>
      <c r="D46" s="6"/>
      <c r="E46" s="6"/>
      <c r="F46" s="45"/>
      <c r="G46" s="45"/>
      <c r="H46" s="45"/>
      <c r="I46" s="45"/>
      <c r="J46" s="45"/>
      <c r="K46" s="45"/>
      <c r="L46" s="45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5"/>
      <c r="AC46" s="45"/>
      <c r="AD46" s="45"/>
      <c r="AE46" s="45"/>
      <c r="AF46" s="45"/>
      <c r="AG46" s="45"/>
      <c r="AH46" s="45"/>
    </row>
    <row r="47" spans="1:5" ht="23.25" customHeight="1">
      <c r="A47" s="7" t="s">
        <v>9</v>
      </c>
      <c r="B47" s="5"/>
      <c r="C47" s="6"/>
      <c r="D47" s="6"/>
      <c r="E47" s="6" t="s">
        <v>34</v>
      </c>
    </row>
    <row r="48" spans="1:5" ht="12.75">
      <c r="A48" s="7"/>
      <c r="B48" s="5"/>
      <c r="C48" s="6"/>
      <c r="D48" s="6"/>
      <c r="E48" s="6"/>
    </row>
    <row r="49" ht="12.75">
      <c r="E49" s="6"/>
    </row>
    <row r="51" ht="12.75">
      <c r="A51" s="16" t="s">
        <v>91</v>
      </c>
    </row>
    <row r="52" ht="12.75">
      <c r="A52" s="16" t="s">
        <v>92</v>
      </c>
    </row>
  </sheetData>
  <sheetProtection/>
  <mergeCells count="1">
    <mergeCell ref="A6:E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8">
      <selection activeCell="A33" sqref="A33"/>
    </sheetView>
  </sheetViews>
  <sheetFormatPr defaultColWidth="9.00390625" defaultRowHeight="12.75" outlineLevelCol="1"/>
  <cols>
    <col min="1" max="1" width="45.125" style="10" customWidth="1"/>
    <col min="2" max="2" width="7.125" style="11" customWidth="1" outlineLevel="1"/>
    <col min="3" max="3" width="21.875" style="12" customWidth="1"/>
    <col min="4" max="4" width="2.625" style="12" customWidth="1"/>
    <col min="5" max="5" width="21.00390625" style="12" customWidth="1"/>
    <col min="6" max="6" width="9.125" style="52" customWidth="1"/>
    <col min="7" max="7" width="0" style="52" hidden="1" customWidth="1"/>
    <col min="8" max="16384" width="9.125" style="52" customWidth="1"/>
  </cols>
  <sheetData>
    <row r="1" spans="1:5" ht="12.75">
      <c r="A1" s="16"/>
      <c r="B1" s="17"/>
      <c r="C1" s="9"/>
      <c r="D1" s="9"/>
      <c r="E1" s="19" t="s">
        <v>62</v>
      </c>
    </row>
    <row r="2" ht="12.75">
      <c r="E2" s="8" t="s">
        <v>80</v>
      </c>
    </row>
    <row r="3" spans="1:5" ht="12.75">
      <c r="A3" s="13"/>
      <c r="B3" s="14"/>
      <c r="C3" s="15"/>
      <c r="D3" s="15"/>
      <c r="E3" s="8" t="s">
        <v>69</v>
      </c>
    </row>
    <row r="4" spans="1:5" ht="12.75">
      <c r="A4" s="122"/>
      <c r="B4" s="122"/>
      <c r="C4" s="122"/>
      <c r="D4" s="122"/>
      <c r="E4" s="122"/>
    </row>
    <row r="5" spans="1:5" ht="12.75">
      <c r="A5" s="121" t="s">
        <v>0</v>
      </c>
      <c r="B5" s="121"/>
      <c r="C5" s="121"/>
      <c r="D5" s="121"/>
      <c r="E5" s="121"/>
    </row>
    <row r="6" spans="1:5" ht="67.5" customHeight="1">
      <c r="A6" s="53"/>
      <c r="B6" s="25" t="s">
        <v>90</v>
      </c>
      <c r="C6" s="26" t="s">
        <v>70</v>
      </c>
      <c r="D6" s="27"/>
      <c r="E6" s="26" t="s">
        <v>71</v>
      </c>
    </row>
    <row r="7" spans="1:5" ht="12.75">
      <c r="A7" s="53"/>
      <c r="B7" s="25"/>
      <c r="C7" s="75"/>
      <c r="D7" s="27"/>
      <c r="E7" s="27"/>
    </row>
    <row r="8" spans="1:5" s="56" customFormat="1" ht="12.75">
      <c r="A8" s="54" t="s">
        <v>72</v>
      </c>
      <c r="B8" s="55" t="s">
        <v>84</v>
      </c>
      <c r="C8" s="77">
        <v>46595892</v>
      </c>
      <c r="D8" s="77"/>
      <c r="E8" s="77">
        <v>43755563</v>
      </c>
    </row>
    <row r="9" spans="1:5" s="56" customFormat="1" ht="12.75">
      <c r="A9" s="54" t="s">
        <v>73</v>
      </c>
      <c r="B9" s="55" t="s">
        <v>84</v>
      </c>
      <c r="C9" s="78">
        <v>-30571530</v>
      </c>
      <c r="D9" s="77"/>
      <c r="E9" s="78">
        <v>-29287250</v>
      </c>
    </row>
    <row r="10" spans="1:5" s="56" customFormat="1" ht="31.5" customHeight="1">
      <c r="A10" s="57" t="s">
        <v>74</v>
      </c>
      <c r="B10" s="58"/>
      <c r="C10" s="79">
        <f>C8+C9</f>
        <v>16024362</v>
      </c>
      <c r="D10" s="80"/>
      <c r="E10" s="79">
        <f>E8+E9</f>
        <v>14468313</v>
      </c>
    </row>
    <row r="11" spans="1:5" ht="12.75">
      <c r="A11" s="13" t="s">
        <v>7</v>
      </c>
      <c r="B11" s="14" t="s">
        <v>85</v>
      </c>
      <c r="C11" s="81">
        <v>9200935</v>
      </c>
      <c r="D11" s="81"/>
      <c r="E11" s="81">
        <v>8416906</v>
      </c>
    </row>
    <row r="12" spans="1:5" ht="12.75">
      <c r="A12" s="13" t="s">
        <v>8</v>
      </c>
      <c r="B12" s="14" t="s">
        <v>86</v>
      </c>
      <c r="C12" s="78">
        <v>-4606245</v>
      </c>
      <c r="D12" s="81"/>
      <c r="E12" s="78">
        <v>-6065657</v>
      </c>
    </row>
    <row r="13" spans="1:5" s="56" customFormat="1" ht="12.75">
      <c r="A13" s="57" t="s">
        <v>75</v>
      </c>
      <c r="B13" s="58"/>
      <c r="C13" s="79">
        <f>SUM(C11:C12)</f>
        <v>4594690</v>
      </c>
      <c r="D13" s="80"/>
      <c r="E13" s="79">
        <f>SUM(E11:E12)</f>
        <v>2351249</v>
      </c>
    </row>
    <row r="14" spans="1:5" ht="69.75" customHeight="1">
      <c r="A14" s="54" t="s">
        <v>33</v>
      </c>
      <c r="B14" s="55"/>
      <c r="C14" s="83">
        <v>-2497</v>
      </c>
      <c r="D14" s="83"/>
      <c r="E14" s="83">
        <f>-17816+4540</f>
        <v>-13276</v>
      </c>
    </row>
    <row r="15" spans="1:5" ht="69.75" customHeight="1">
      <c r="A15" s="54" t="s">
        <v>54</v>
      </c>
      <c r="B15" s="55"/>
      <c r="C15" s="83">
        <v>-2454653</v>
      </c>
      <c r="D15" s="83"/>
      <c r="E15" s="83">
        <v>4754</v>
      </c>
    </row>
    <row r="16" spans="1:5" ht="36" customHeight="1">
      <c r="A16" s="54" t="s">
        <v>37</v>
      </c>
      <c r="B16" s="55"/>
      <c r="C16" s="83">
        <v>-51494</v>
      </c>
      <c r="D16" s="83"/>
      <c r="E16" s="83">
        <v>-2724</v>
      </c>
    </row>
    <row r="17" spans="1:5" ht="12.75">
      <c r="A17" s="54" t="s">
        <v>22</v>
      </c>
      <c r="B17" s="55"/>
      <c r="C17" s="83">
        <f>2600881+614832</f>
        <v>3215713</v>
      </c>
      <c r="D17" s="83"/>
      <c r="E17" s="83">
        <f>2023555-186950</f>
        <v>1836605</v>
      </c>
    </row>
    <row r="18" spans="1:5" ht="25.5">
      <c r="A18" s="54" t="s">
        <v>94</v>
      </c>
      <c r="B18" s="55"/>
      <c r="C18" s="83">
        <v>-50631</v>
      </c>
      <c r="D18" s="83"/>
      <c r="E18" s="83">
        <v>-682633</v>
      </c>
    </row>
    <row r="19" spans="1:5" ht="38.25">
      <c r="A19" s="54" t="s">
        <v>40</v>
      </c>
      <c r="B19" s="55"/>
      <c r="C19" s="83">
        <v>1118055</v>
      </c>
      <c r="D19" s="83"/>
      <c r="E19" s="83">
        <v>-189945</v>
      </c>
    </row>
    <row r="20" spans="1:5" ht="12.75">
      <c r="A20" s="13" t="s">
        <v>95</v>
      </c>
      <c r="B20" s="14"/>
      <c r="C20" s="82">
        <v>882332</v>
      </c>
      <c r="D20" s="81"/>
      <c r="E20" s="82">
        <v>241179</v>
      </c>
    </row>
    <row r="21" spans="1:5" s="56" customFormat="1" ht="36.75" customHeight="1">
      <c r="A21" s="57" t="s">
        <v>30</v>
      </c>
      <c r="B21" s="58"/>
      <c r="C21" s="80">
        <f>C10+C13+SUM(C14:C20)</f>
        <v>23275877</v>
      </c>
      <c r="D21" s="80"/>
      <c r="E21" s="80">
        <f>E10+E13+SUM(E14:E20)</f>
        <v>18013522</v>
      </c>
    </row>
    <row r="22" spans="1:5" s="56" customFormat="1" ht="25.5" customHeight="1">
      <c r="A22" s="54" t="s">
        <v>53</v>
      </c>
      <c r="B22" s="55" t="s">
        <v>82</v>
      </c>
      <c r="C22" s="83">
        <f>-5143554+209666</f>
        <v>-4933888</v>
      </c>
      <c r="D22" s="83"/>
      <c r="E22" s="83">
        <f>1213811-461738+21205-4828031</f>
        <v>-4054753</v>
      </c>
    </row>
    <row r="23" spans="1:5" ht="21.75" customHeight="1">
      <c r="A23" s="54" t="s">
        <v>93</v>
      </c>
      <c r="B23" s="55"/>
      <c r="C23" s="83">
        <f>-7157026</f>
        <v>-7157026</v>
      </c>
      <c r="D23" s="83"/>
      <c r="E23" s="83">
        <f>-6477139</f>
        <v>-6477139</v>
      </c>
    </row>
    <row r="24" spans="1:5" ht="27" customHeight="1">
      <c r="A24" s="54" t="s">
        <v>14</v>
      </c>
      <c r="B24" s="55" t="s">
        <v>83</v>
      </c>
      <c r="C24" s="84">
        <f>-(1511670+5567775+861720+1)</f>
        <v>-7941166</v>
      </c>
      <c r="D24" s="83"/>
      <c r="E24" s="84">
        <f>-1454946-4945594-816236</f>
        <v>-7216776</v>
      </c>
    </row>
    <row r="25" spans="1:5" s="56" customFormat="1" ht="31.5" customHeight="1">
      <c r="A25" s="57" t="s">
        <v>1</v>
      </c>
      <c r="B25" s="58"/>
      <c r="C25" s="79">
        <f>SUM(C22:C24)</f>
        <v>-20032080</v>
      </c>
      <c r="D25" s="80"/>
      <c r="E25" s="79">
        <f>SUM(E22:E24)</f>
        <v>-17748668</v>
      </c>
    </row>
    <row r="26" spans="1:5" s="56" customFormat="1" ht="30.75" customHeight="1">
      <c r="A26" s="57" t="s">
        <v>31</v>
      </c>
      <c r="B26" s="58"/>
      <c r="C26" s="80">
        <f>C21+C25</f>
        <v>3243797</v>
      </c>
      <c r="D26" s="80"/>
      <c r="E26" s="80">
        <f>E21+E25</f>
        <v>264854</v>
      </c>
    </row>
    <row r="27" spans="1:5" ht="12.75">
      <c r="A27" s="54" t="s">
        <v>96</v>
      </c>
      <c r="B27" s="55"/>
      <c r="C27" s="84">
        <v>-279959</v>
      </c>
      <c r="D27" s="83"/>
      <c r="E27" s="84">
        <v>-1559894</v>
      </c>
    </row>
    <row r="28" spans="1:5" s="56" customFormat="1" ht="15.75" customHeight="1">
      <c r="A28" s="57" t="s">
        <v>32</v>
      </c>
      <c r="B28" s="58"/>
      <c r="C28" s="79">
        <f>C26+C27</f>
        <v>2963838</v>
      </c>
      <c r="D28" s="80"/>
      <c r="E28" s="79">
        <f>E26+E27</f>
        <v>-1295040</v>
      </c>
    </row>
    <row r="29" spans="1:5" ht="27.75" customHeight="1">
      <c r="A29" s="57" t="s">
        <v>76</v>
      </c>
      <c r="B29" s="59"/>
      <c r="C29" s="85"/>
      <c r="D29" s="85"/>
      <c r="E29" s="85"/>
    </row>
    <row r="30" spans="1:5" ht="15.75" customHeight="1">
      <c r="A30" s="60" t="s">
        <v>42</v>
      </c>
      <c r="B30" s="61"/>
      <c r="C30" s="83">
        <v>2896104</v>
      </c>
      <c r="D30" s="83"/>
      <c r="E30" s="83">
        <v>-1344898</v>
      </c>
    </row>
    <row r="31" spans="1:5" ht="17.25" customHeight="1">
      <c r="A31" s="60" t="s">
        <v>41</v>
      </c>
      <c r="B31" s="61"/>
      <c r="C31" s="84">
        <v>67734</v>
      </c>
      <c r="D31" s="83"/>
      <c r="E31" s="84">
        <v>49858</v>
      </c>
    </row>
    <row r="32" spans="1:5" ht="13.5" customHeight="1" thickBot="1">
      <c r="A32" s="60"/>
      <c r="B32" s="61"/>
      <c r="C32" s="86">
        <f>SUM(C30:C31)</f>
        <v>2963838</v>
      </c>
      <c r="D32" s="87"/>
      <c r="E32" s="86">
        <f>SUM(E30:E31)</f>
        <v>-1295040</v>
      </c>
    </row>
    <row r="33" spans="1:5" ht="13.5" customHeight="1">
      <c r="A33" s="60"/>
      <c r="B33" s="61"/>
      <c r="C33" s="87"/>
      <c r="D33" s="87"/>
      <c r="E33" s="87"/>
    </row>
    <row r="34" spans="1:5" ht="13.5" customHeight="1">
      <c r="A34" s="60"/>
      <c r="B34" s="61"/>
      <c r="C34" s="87"/>
      <c r="D34" s="87"/>
      <c r="E34" s="87"/>
    </row>
    <row r="35" spans="1:5" ht="13.5" customHeight="1">
      <c r="A35" s="114"/>
      <c r="B35" s="61"/>
      <c r="C35" s="87"/>
      <c r="D35" s="87"/>
      <c r="E35" s="87"/>
    </row>
    <row r="36" spans="1:5" s="63" customFormat="1" ht="15.75" customHeight="1">
      <c r="A36" s="114"/>
      <c r="B36" s="58"/>
      <c r="C36" s="88"/>
      <c r="D36" s="88"/>
      <c r="E36" s="88"/>
    </row>
    <row r="37" spans="1:5" s="56" customFormat="1" ht="71.25" customHeight="1">
      <c r="A37" s="116" t="s">
        <v>78</v>
      </c>
      <c r="B37" s="58"/>
      <c r="C37" s="88"/>
      <c r="D37" s="88"/>
      <c r="E37" s="88"/>
    </row>
    <row r="38" spans="1:5" s="56" customFormat="1" ht="31.5" customHeight="1">
      <c r="A38" s="54" t="s">
        <v>12</v>
      </c>
      <c r="B38" s="55"/>
      <c r="C38" s="89"/>
      <c r="D38" s="89"/>
      <c r="E38" s="89"/>
    </row>
    <row r="39" spans="1:5" s="56" customFormat="1" ht="24" customHeight="1">
      <c r="A39" s="64" t="s">
        <v>23</v>
      </c>
      <c r="B39" s="65"/>
      <c r="C39" s="90">
        <v>263061</v>
      </c>
      <c r="D39" s="90"/>
      <c r="E39" s="90">
        <f>12862</f>
        <v>12862</v>
      </c>
    </row>
    <row r="40" spans="1:5" s="56" customFormat="1" ht="27.75" customHeight="1">
      <c r="A40" s="64" t="s">
        <v>38</v>
      </c>
      <c r="B40" s="65"/>
      <c r="C40" s="91">
        <f>51494</f>
        <v>51494</v>
      </c>
      <c r="D40" s="91"/>
      <c r="E40" s="90">
        <v>2724</v>
      </c>
    </row>
    <row r="41" spans="1:5" s="56" customFormat="1" ht="31.5" customHeight="1">
      <c r="A41" s="64" t="s">
        <v>43</v>
      </c>
      <c r="B41" s="65"/>
      <c r="C41" s="92">
        <f>624840</f>
        <v>624840</v>
      </c>
      <c r="D41" s="89"/>
      <c r="E41" s="92">
        <f>13329</f>
        <v>13329</v>
      </c>
    </row>
    <row r="42" spans="1:5" s="56" customFormat="1" ht="27.75" customHeight="1">
      <c r="A42" s="57" t="s">
        <v>97</v>
      </c>
      <c r="B42" s="58"/>
      <c r="C42" s="93">
        <f>SUM(C39:C41)</f>
        <v>939395</v>
      </c>
      <c r="D42" s="94"/>
      <c r="E42" s="93">
        <f>SUM(E39:E41)</f>
        <v>28915</v>
      </c>
    </row>
    <row r="43" spans="1:5" ht="21.75" customHeight="1" thickBot="1">
      <c r="A43" s="66" t="s">
        <v>98</v>
      </c>
      <c r="B43" s="67"/>
      <c r="C43" s="95">
        <f>C28+C42</f>
        <v>3903233</v>
      </c>
      <c r="D43" s="94"/>
      <c r="E43" s="95">
        <f>E28+E42</f>
        <v>-1266125</v>
      </c>
    </row>
    <row r="44" spans="3:5" ht="12.75">
      <c r="C44" s="96"/>
      <c r="D44" s="96"/>
      <c r="E44" s="96"/>
    </row>
    <row r="45" spans="1:5" ht="32.25" customHeight="1">
      <c r="A45" s="57" t="s">
        <v>77</v>
      </c>
      <c r="B45" s="59"/>
      <c r="C45" s="97"/>
      <c r="D45" s="97"/>
      <c r="E45" s="97"/>
    </row>
    <row r="46" spans="1:5" ht="13.5" customHeight="1">
      <c r="A46" s="60" t="s">
        <v>42</v>
      </c>
      <c r="B46" s="61"/>
      <c r="C46" s="89">
        <f>C30+51494+263251+611748</f>
        <v>3822597</v>
      </c>
      <c r="D46" s="89"/>
      <c r="E46" s="89">
        <f>E30+E40+(E39-678)+(E41-(-1012))</f>
        <v>-1315649</v>
      </c>
    </row>
    <row r="47" spans="1:5" ht="26.25" customHeight="1">
      <c r="A47" s="60" t="s">
        <v>41</v>
      </c>
      <c r="B47" s="61"/>
      <c r="C47" s="92">
        <f>C31+(-190)+13092</f>
        <v>80636</v>
      </c>
      <c r="D47" s="89"/>
      <c r="E47" s="92">
        <f>E31+678+(-1012)</f>
        <v>49524</v>
      </c>
    </row>
    <row r="48" spans="1:5" ht="18.75" customHeight="1" thickBot="1">
      <c r="A48" s="69" t="s">
        <v>44</v>
      </c>
      <c r="B48" s="70"/>
      <c r="C48" s="98">
        <f>SUM(C46:C47)</f>
        <v>3903233</v>
      </c>
      <c r="D48" s="88"/>
      <c r="E48" s="98">
        <f>SUM(E46:E47)</f>
        <v>-1266125</v>
      </c>
    </row>
    <row r="49" spans="1:5" ht="13.5" customHeight="1">
      <c r="A49" s="60"/>
      <c r="B49" s="61"/>
      <c r="C49" s="71"/>
      <c r="D49" s="71"/>
      <c r="E49" s="71"/>
    </row>
    <row r="50" spans="1:5" ht="13.5" customHeight="1">
      <c r="A50" s="57" t="s">
        <v>45</v>
      </c>
      <c r="B50" s="58"/>
      <c r="C50" s="62"/>
      <c r="D50" s="62"/>
      <c r="E50" s="62"/>
    </row>
    <row r="51" spans="1:5" ht="30.75" customHeight="1">
      <c r="A51" s="60" t="s">
        <v>46</v>
      </c>
      <c r="B51" s="61"/>
      <c r="C51" s="68">
        <v>63.980321632284415</v>
      </c>
      <c r="D51" s="71"/>
      <c r="E51" s="68">
        <v>-29.71129717807649</v>
      </c>
    </row>
    <row r="52" spans="1:5" ht="13.5" customHeight="1">
      <c r="A52" s="60"/>
      <c r="B52" s="61"/>
      <c r="C52" s="71"/>
      <c r="D52" s="71"/>
      <c r="E52" s="71"/>
    </row>
    <row r="53" spans="1:28" ht="25.5" customHeight="1">
      <c r="A53" s="4" t="s">
        <v>35</v>
      </c>
      <c r="B53" s="5"/>
      <c r="C53" s="6"/>
      <c r="D53" s="6"/>
      <c r="E53" s="6" t="s">
        <v>36</v>
      </c>
      <c r="F53" s="4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2"/>
      <c r="U53" s="72"/>
      <c r="V53" s="72"/>
      <c r="W53" s="72"/>
      <c r="X53" s="72"/>
      <c r="Y53" s="72"/>
      <c r="Z53" s="72"/>
      <c r="AA53" s="72"/>
      <c r="AB53" s="73"/>
    </row>
    <row r="54" spans="1:28" ht="33.75" customHeight="1">
      <c r="A54" s="4" t="s">
        <v>9</v>
      </c>
      <c r="B54" s="5"/>
      <c r="C54" s="6"/>
      <c r="D54" s="6"/>
      <c r="E54" s="6" t="s">
        <v>34</v>
      </c>
      <c r="F54" s="4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2"/>
      <c r="U54" s="72"/>
      <c r="V54" s="72"/>
      <c r="W54" s="72"/>
      <c r="X54" s="72"/>
      <c r="Y54" s="72"/>
      <c r="Z54" s="72"/>
      <c r="AA54" s="72"/>
      <c r="AB54" s="73"/>
    </row>
    <row r="55" spans="1:28" ht="12.75">
      <c r="A55" s="66"/>
      <c r="B55" s="67"/>
      <c r="C55" s="44"/>
      <c r="D55" s="44"/>
      <c r="E55" s="44"/>
      <c r="F55" s="4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2"/>
      <c r="U55" s="72"/>
      <c r="V55" s="72"/>
      <c r="W55" s="72"/>
      <c r="X55" s="72"/>
      <c r="Y55" s="72"/>
      <c r="Z55" s="72"/>
      <c r="AA55" s="72"/>
      <c r="AB55" s="73"/>
    </row>
    <row r="56" spans="1:5" ht="12.75">
      <c r="A56" s="66"/>
      <c r="B56" s="67"/>
      <c r="C56" s="44"/>
      <c r="D56" s="44"/>
      <c r="E56" s="44"/>
    </row>
    <row r="57" spans="2:5" ht="12.75">
      <c r="B57" s="115"/>
      <c r="C57" s="76"/>
      <c r="D57" s="76"/>
      <c r="E57" s="76"/>
    </row>
    <row r="58" spans="2:5" ht="12.75">
      <c r="B58" s="115"/>
      <c r="C58" s="76"/>
      <c r="D58" s="76"/>
      <c r="E58" s="76"/>
    </row>
    <row r="59" spans="1:5" ht="12.75">
      <c r="A59" s="114"/>
      <c r="B59" s="115"/>
      <c r="C59" s="76"/>
      <c r="D59" s="76"/>
      <c r="E59" s="76"/>
    </row>
    <row r="72" ht="12.75">
      <c r="A72" s="114"/>
    </row>
    <row r="73" ht="12.75">
      <c r="A73" s="114"/>
    </row>
    <row r="74" ht="12.75">
      <c r="A74" s="52"/>
    </row>
    <row r="75" ht="12.75">
      <c r="A75" s="52"/>
    </row>
  </sheetData>
  <sheetProtection/>
  <mergeCells count="2">
    <mergeCell ref="A5:E5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8.00390625" style="123" customWidth="1"/>
    <col min="2" max="2" width="19.75390625" style="9" customWidth="1"/>
    <col min="3" max="3" width="2.00390625" style="9" customWidth="1"/>
    <col min="4" max="4" width="19.125" style="9" customWidth="1"/>
    <col min="5" max="16384" width="9.125" style="124" customWidth="1"/>
  </cols>
  <sheetData>
    <row r="1" ht="12.75">
      <c r="D1" s="19" t="s">
        <v>62</v>
      </c>
    </row>
    <row r="2" ht="12.75">
      <c r="D2" s="8" t="s">
        <v>100</v>
      </c>
    </row>
    <row r="3" ht="12.75">
      <c r="D3" s="8" t="s">
        <v>69</v>
      </c>
    </row>
    <row r="5" spans="1:4" ht="12.75">
      <c r="A5" s="121" t="s">
        <v>0</v>
      </c>
      <c r="B5" s="121"/>
      <c r="C5" s="121"/>
      <c r="D5" s="121"/>
    </row>
    <row r="6" spans="1:4" ht="63.75">
      <c r="A6" s="24"/>
      <c r="B6" s="26" t="s">
        <v>70</v>
      </c>
      <c r="D6" s="26" t="s">
        <v>71</v>
      </c>
    </row>
    <row r="7" ht="25.5">
      <c r="A7" s="125" t="s">
        <v>101</v>
      </c>
    </row>
    <row r="8" spans="1:4" ht="12.75">
      <c r="A8" s="123" t="s">
        <v>72</v>
      </c>
      <c r="B8" s="126">
        <v>38916554</v>
      </c>
      <c r="C8" s="126"/>
      <c r="D8" s="126">
        <v>37464434</v>
      </c>
    </row>
    <row r="9" spans="1:4" ht="12.75">
      <c r="A9" s="123" t="s">
        <v>73</v>
      </c>
      <c r="B9" s="127">
        <v>-30179842</v>
      </c>
      <c r="C9" s="126"/>
      <c r="D9" s="127">
        <v>-39220065</v>
      </c>
    </row>
    <row r="10" spans="1:4" ht="12.75">
      <c r="A10" s="123" t="s">
        <v>102</v>
      </c>
      <c r="B10" s="127">
        <v>9004701</v>
      </c>
      <c r="C10" s="126"/>
      <c r="D10" s="127">
        <v>8681264</v>
      </c>
    </row>
    <row r="11" spans="1:4" ht="12.75">
      <c r="A11" s="123" t="s">
        <v>103</v>
      </c>
      <c r="B11" s="127">
        <v>-3083255</v>
      </c>
      <c r="C11" s="126"/>
      <c r="D11" s="127">
        <v>-9197251</v>
      </c>
    </row>
    <row r="12" spans="1:4" ht="51">
      <c r="A12" s="123" t="s">
        <v>104</v>
      </c>
      <c r="B12" s="127">
        <v>-2427594</v>
      </c>
      <c r="C12" s="126"/>
      <c r="D12" s="127">
        <v>-8522</v>
      </c>
    </row>
    <row r="13" spans="1:4" ht="25.5">
      <c r="A13" s="123" t="s">
        <v>105</v>
      </c>
      <c r="B13" s="127">
        <v>6630922</v>
      </c>
      <c r="C13" s="126"/>
      <c r="D13" s="127">
        <v>1836605</v>
      </c>
    </row>
    <row r="14" spans="1:4" ht="12.75">
      <c r="A14" s="123" t="s">
        <v>106</v>
      </c>
      <c r="B14" s="127">
        <v>830838</v>
      </c>
      <c r="C14" s="126"/>
      <c r="D14" s="127">
        <v>48510</v>
      </c>
    </row>
    <row r="15" spans="1:4" ht="12.75">
      <c r="A15" s="123" t="s">
        <v>107</v>
      </c>
      <c r="B15" s="127">
        <v>-7351802</v>
      </c>
      <c r="C15" s="126"/>
      <c r="D15" s="127">
        <v>-6559981</v>
      </c>
    </row>
    <row r="16" spans="1:4" ht="25.5">
      <c r="A16" s="123" t="s">
        <v>108</v>
      </c>
      <c r="B16" s="128">
        <v>-6451635</v>
      </c>
      <c r="C16" s="126"/>
      <c r="D16" s="128">
        <v>-5773005</v>
      </c>
    </row>
    <row r="17" spans="1:4" ht="25.5">
      <c r="A17" s="125" t="s">
        <v>109</v>
      </c>
      <c r="B17" s="129">
        <f>SUM(B8:B16)</f>
        <v>5888887</v>
      </c>
      <c r="C17" s="130"/>
      <c r="D17" s="129">
        <f>SUM(D8:D16)</f>
        <v>-12728011</v>
      </c>
    </row>
    <row r="18" spans="1:4" ht="13.5">
      <c r="A18" s="131" t="s">
        <v>110</v>
      </c>
      <c r="B18" s="127"/>
      <c r="C18" s="127"/>
      <c r="D18" s="127"/>
    </row>
    <row r="19" spans="1:4" ht="51">
      <c r="A19" s="123" t="s">
        <v>111</v>
      </c>
      <c r="B19" s="127">
        <v>-60219</v>
      </c>
      <c r="C19" s="127"/>
      <c r="D19" s="127">
        <v>179664</v>
      </c>
    </row>
    <row r="20" spans="1:4" ht="12.75">
      <c r="A20" s="123" t="s">
        <v>112</v>
      </c>
      <c r="B20" s="127">
        <v>-2467556</v>
      </c>
      <c r="C20" s="127"/>
      <c r="D20" s="127">
        <v>-12390894</v>
      </c>
    </row>
    <row r="21" spans="1:4" ht="12.75">
      <c r="A21" s="123" t="s">
        <v>16</v>
      </c>
      <c r="B21" s="127">
        <v>-25080350</v>
      </c>
      <c r="C21" s="127"/>
      <c r="D21" s="127">
        <v>50207936</v>
      </c>
    </row>
    <row r="22" spans="1:4" ht="25.5">
      <c r="A22" s="123" t="s">
        <v>113</v>
      </c>
      <c r="B22" s="127">
        <v>0</v>
      </c>
      <c r="C22" s="127"/>
      <c r="D22" s="127">
        <v>95112829</v>
      </c>
    </row>
    <row r="23" spans="1:4" ht="12.75">
      <c r="A23" s="123" t="s">
        <v>4</v>
      </c>
      <c r="B23" s="127">
        <v>15364982</v>
      </c>
      <c r="C23" s="127"/>
      <c r="D23" s="127">
        <v>1354823</v>
      </c>
    </row>
    <row r="24" spans="1:4" ht="27">
      <c r="A24" s="131" t="s">
        <v>114</v>
      </c>
      <c r="B24" s="127"/>
      <c r="C24" s="127"/>
      <c r="D24" s="127"/>
    </row>
    <row r="25" spans="1:4" ht="51">
      <c r="A25" s="123" t="s">
        <v>111</v>
      </c>
      <c r="B25" s="127">
        <v>333927</v>
      </c>
      <c r="C25" s="127"/>
      <c r="D25" s="127">
        <v>-114345</v>
      </c>
    </row>
    <row r="26" spans="1:4" ht="25.5">
      <c r="A26" s="123" t="s">
        <v>115</v>
      </c>
      <c r="B26" s="127">
        <v>-2682007</v>
      </c>
      <c r="C26" s="127"/>
      <c r="D26" s="127">
        <v>-33815240</v>
      </c>
    </row>
    <row r="27" spans="1:4" ht="12.75">
      <c r="A27" s="123" t="s">
        <v>19</v>
      </c>
      <c r="B27" s="127">
        <v>74377648</v>
      </c>
      <c r="C27" s="127"/>
      <c r="D27" s="127">
        <v>89245328</v>
      </c>
    </row>
    <row r="28" spans="1:4" ht="12.75">
      <c r="A28" s="123" t="s">
        <v>6</v>
      </c>
      <c r="B28" s="128">
        <v>-823874</v>
      </c>
      <c r="C28" s="127"/>
      <c r="D28" s="128">
        <v>-1554918</v>
      </c>
    </row>
    <row r="29" spans="1:4" ht="45" customHeight="1">
      <c r="A29" s="125" t="s">
        <v>116</v>
      </c>
      <c r="B29" s="127">
        <f>SUM(B17:B28)</f>
        <v>64851438</v>
      </c>
      <c r="C29" s="127"/>
      <c r="D29" s="127">
        <f>SUM(D17:D28)</f>
        <v>175497172</v>
      </c>
    </row>
    <row r="30" spans="1:4" ht="12.75">
      <c r="A30" s="123" t="s">
        <v>117</v>
      </c>
      <c r="B30" s="128">
        <v>-263854</v>
      </c>
      <c r="C30" s="127"/>
      <c r="D30" s="128">
        <v>-244466</v>
      </c>
    </row>
    <row r="31" spans="1:4" ht="25.5">
      <c r="A31" s="125" t="s">
        <v>118</v>
      </c>
      <c r="B31" s="132">
        <f>B29+B30</f>
        <v>64587584</v>
      </c>
      <c r="C31" s="127"/>
      <c r="D31" s="132">
        <f>D29+D30</f>
        <v>175252706</v>
      </c>
    </row>
    <row r="32" spans="2:4" ht="12.75">
      <c r="B32" s="127"/>
      <c r="C32" s="127"/>
      <c r="D32" s="127"/>
    </row>
    <row r="33" spans="1:4" ht="25.5">
      <c r="A33" s="125" t="s">
        <v>119</v>
      </c>
      <c r="B33" s="127"/>
      <c r="C33" s="127"/>
      <c r="D33" s="127"/>
    </row>
    <row r="34" spans="1:4" ht="25.5">
      <c r="A34" s="123" t="s">
        <v>120</v>
      </c>
      <c r="B34" s="127">
        <v>-79549090</v>
      </c>
      <c r="C34" s="127"/>
      <c r="D34" s="127">
        <v>-21188061</v>
      </c>
    </row>
    <row r="35" spans="1:4" ht="25.5">
      <c r="A35" s="123" t="s">
        <v>121</v>
      </c>
      <c r="B35" s="127">
        <v>62124136</v>
      </c>
      <c r="C35" s="127"/>
      <c r="D35" s="127">
        <v>31763765</v>
      </c>
    </row>
    <row r="36" spans="1:4" ht="25.5">
      <c r="A36" s="123" t="s">
        <v>122</v>
      </c>
      <c r="B36" s="127">
        <v>-1342737</v>
      </c>
      <c r="C36" s="127"/>
      <c r="D36" s="127">
        <v>-752005</v>
      </c>
    </row>
    <row r="37" spans="1:4" ht="12.75">
      <c r="A37" s="123" t="s">
        <v>123</v>
      </c>
      <c r="B37" s="128">
        <v>89043</v>
      </c>
      <c r="C37" s="127"/>
      <c r="D37" s="128">
        <v>309201</v>
      </c>
    </row>
    <row r="38" spans="1:4" ht="25.5">
      <c r="A38" s="125" t="s">
        <v>124</v>
      </c>
      <c r="B38" s="128">
        <f>SUM(B34:B37)</f>
        <v>-18678648</v>
      </c>
      <c r="C38" s="127"/>
      <c r="D38" s="128">
        <f>SUM(D34:D37)</f>
        <v>10132900</v>
      </c>
    </row>
    <row r="39" spans="2:4" ht="12.75">
      <c r="B39" s="127"/>
      <c r="C39" s="127"/>
      <c r="D39" s="127"/>
    </row>
    <row r="40" spans="1:4" ht="25.5">
      <c r="A40" s="125" t="s">
        <v>125</v>
      </c>
      <c r="B40" s="127"/>
      <c r="C40" s="127"/>
      <c r="D40" s="127"/>
    </row>
    <row r="41" spans="1:4" ht="12.75" hidden="1">
      <c r="A41" s="123" t="s">
        <v>126</v>
      </c>
      <c r="B41" s="127"/>
      <c r="C41" s="127"/>
      <c r="D41" s="127">
        <v>0</v>
      </c>
    </row>
    <row r="42" spans="1:4" ht="12.75" hidden="1">
      <c r="A42" s="123" t="s">
        <v>127</v>
      </c>
      <c r="B42" s="127"/>
      <c r="C42" s="127"/>
      <c r="D42" s="127">
        <v>0</v>
      </c>
    </row>
    <row r="43" spans="1:4" ht="12.75">
      <c r="A43" s="123" t="s">
        <v>128</v>
      </c>
      <c r="B43" s="127">
        <v>7171286</v>
      </c>
      <c r="C43" s="127"/>
      <c r="D43" s="127">
        <v>686344</v>
      </c>
    </row>
    <row r="44" spans="1:4" ht="12.75">
      <c r="A44" s="123" t="s">
        <v>129</v>
      </c>
      <c r="B44" s="127">
        <v>-4591788</v>
      </c>
      <c r="C44" s="127"/>
      <c r="D44" s="127">
        <v>-55761829</v>
      </c>
    </row>
    <row r="45" spans="1:4" ht="12.75">
      <c r="A45" s="123" t="s">
        <v>130</v>
      </c>
      <c r="B45" s="127">
        <v>0</v>
      </c>
      <c r="C45" s="127"/>
      <c r="D45" s="127">
        <v>9375000</v>
      </c>
    </row>
    <row r="46" spans="1:4" ht="12.75">
      <c r="A46" s="123" t="s">
        <v>131</v>
      </c>
      <c r="B46" s="127">
        <v>-10819280</v>
      </c>
      <c r="C46" s="127"/>
      <c r="D46" s="127">
        <v>-30419400</v>
      </c>
    </row>
    <row r="47" spans="1:4" ht="12.75">
      <c r="A47" s="123" t="s">
        <v>132</v>
      </c>
      <c r="B47" s="127">
        <v>30000</v>
      </c>
      <c r="C47" s="127"/>
      <c r="D47" s="127">
        <v>0</v>
      </c>
    </row>
    <row r="48" spans="1:4" ht="12.75">
      <c r="A48" s="123" t="s">
        <v>133</v>
      </c>
      <c r="B48" s="127">
        <v>-54367564</v>
      </c>
      <c r="C48" s="127"/>
      <c r="D48" s="127">
        <v>-24660965</v>
      </c>
    </row>
    <row r="49" spans="1:4" ht="12.75">
      <c r="A49" s="123" t="s">
        <v>134</v>
      </c>
      <c r="B49" s="128">
        <v>-823</v>
      </c>
      <c r="C49" s="127"/>
      <c r="D49" s="128">
        <v>-33506</v>
      </c>
    </row>
    <row r="50" spans="1:4" ht="27.75" customHeight="1">
      <c r="A50" s="125" t="s">
        <v>135</v>
      </c>
      <c r="B50" s="128">
        <f>SUM(B41:B49)</f>
        <v>-62578169</v>
      </c>
      <c r="C50" s="127"/>
      <c r="D50" s="128">
        <f>SUM(D41:D49)</f>
        <v>-100814356</v>
      </c>
    </row>
    <row r="51" spans="1:4" ht="12.75">
      <c r="A51" s="125"/>
      <c r="B51" s="127"/>
      <c r="C51" s="127"/>
      <c r="D51" s="127"/>
    </row>
    <row r="52" spans="1:4" ht="25.5">
      <c r="A52" s="125" t="s">
        <v>136</v>
      </c>
      <c r="B52" s="127">
        <f>B50+B38+B31</f>
        <v>-16669233</v>
      </c>
      <c r="C52" s="127"/>
      <c r="D52" s="127">
        <f>D50+D38+D31</f>
        <v>84571250</v>
      </c>
    </row>
    <row r="53" spans="2:4" ht="12.75">
      <c r="B53" s="127"/>
      <c r="C53" s="127"/>
      <c r="D53" s="127"/>
    </row>
    <row r="54" spans="1:4" ht="25.5">
      <c r="A54" s="133" t="s">
        <v>137</v>
      </c>
      <c r="B54" s="127">
        <v>31089960</v>
      </c>
      <c r="C54" s="127"/>
      <c r="D54" s="127">
        <v>3206728</v>
      </c>
    </row>
    <row r="55" spans="2:4" ht="12.75">
      <c r="B55" s="127"/>
      <c r="C55" s="127"/>
      <c r="D55" s="127"/>
    </row>
    <row r="56" spans="1:4" ht="12.75">
      <c r="A56" s="125" t="s">
        <v>138</v>
      </c>
      <c r="B56" s="127">
        <f>B52+B54</f>
        <v>14420727</v>
      </c>
      <c r="C56" s="127"/>
      <c r="D56" s="127">
        <f>D52+D54</f>
        <v>87777978</v>
      </c>
    </row>
    <row r="57" spans="2:4" ht="12.75">
      <c r="B57" s="127"/>
      <c r="C57" s="127"/>
      <c r="D57" s="127"/>
    </row>
    <row r="58" spans="1:4" ht="25.5">
      <c r="A58" s="133" t="s">
        <v>139</v>
      </c>
      <c r="B58" s="128">
        <v>199981647</v>
      </c>
      <c r="C58" s="127"/>
      <c r="D58" s="128">
        <v>120555067</v>
      </c>
    </row>
    <row r="59" spans="1:4" ht="26.25" thickBot="1">
      <c r="A59" s="133" t="s">
        <v>140</v>
      </c>
      <c r="B59" s="134">
        <v>214402374</v>
      </c>
      <c r="C59" s="127"/>
      <c r="D59" s="134">
        <v>208333045</v>
      </c>
    </row>
    <row r="61" spans="2:4" ht="12.75">
      <c r="B61" s="135"/>
      <c r="C61" s="135"/>
      <c r="D61" s="135"/>
    </row>
    <row r="62" spans="1:4" ht="18" customHeight="1">
      <c r="A62" s="7" t="s">
        <v>35</v>
      </c>
      <c r="B62" s="6"/>
      <c r="C62" s="6"/>
      <c r="D62" s="6" t="s">
        <v>36</v>
      </c>
    </row>
    <row r="63" spans="1:4" ht="27" customHeight="1">
      <c r="A63" s="7" t="s">
        <v>9</v>
      </c>
      <c r="B63" s="6"/>
      <c r="C63" s="6"/>
      <c r="D63" s="6" t="s">
        <v>34</v>
      </c>
    </row>
    <row r="64" spans="1:4" ht="12.75">
      <c r="A64" s="136"/>
      <c r="B64" s="137"/>
      <c r="C64" s="137"/>
      <c r="D64" s="137"/>
    </row>
    <row r="65" spans="1:4" ht="12.75">
      <c r="A65" s="7"/>
      <c r="B65" s="6"/>
      <c r="C65" s="6"/>
      <c r="D65" s="18"/>
    </row>
    <row r="66" spans="1:3" ht="12.75">
      <c r="A66" s="138"/>
      <c r="B66" s="139"/>
      <c r="C66" s="139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60" zoomScalePageLayoutView="0" workbookViewId="0" topLeftCell="A1">
      <selection activeCell="T5" sqref="T5:T6"/>
    </sheetView>
  </sheetViews>
  <sheetFormatPr defaultColWidth="21.625" defaultRowHeight="12.75"/>
  <cols>
    <col min="1" max="1" width="30.875" style="143" customWidth="1"/>
    <col min="2" max="2" width="14.125" style="142" customWidth="1"/>
    <col min="3" max="3" width="1.12109375" style="142" customWidth="1"/>
    <col min="4" max="4" width="14.375" style="142" customWidth="1"/>
    <col min="5" max="5" width="1.25" style="142" customWidth="1"/>
    <col min="6" max="6" width="14.125" style="142" customWidth="1"/>
    <col min="7" max="7" width="1.75390625" style="142" customWidth="1"/>
    <col min="8" max="8" width="13.75390625" style="142" customWidth="1"/>
    <col min="9" max="9" width="2.00390625" style="142" customWidth="1"/>
    <col min="10" max="10" width="16.25390625" style="142" customWidth="1"/>
    <col min="11" max="11" width="1.625" style="142" customWidth="1"/>
    <col min="12" max="12" width="14.125" style="142" customWidth="1"/>
    <col min="13" max="13" width="1.75390625" style="142" customWidth="1"/>
    <col min="14" max="14" width="14.75390625" style="142" customWidth="1"/>
    <col min="15" max="15" width="2.00390625" style="142" customWidth="1"/>
    <col min="16" max="16" width="15.25390625" style="142" customWidth="1"/>
    <col min="17" max="17" width="1.875" style="142" customWidth="1"/>
    <col min="18" max="18" width="14.375" style="142" customWidth="1"/>
    <col min="19" max="19" width="1.75390625" style="142" customWidth="1"/>
    <col min="20" max="20" width="12.625" style="142" customWidth="1"/>
    <col min="21" max="21" width="21.625" style="141" customWidth="1"/>
    <col min="22" max="16384" width="21.625" style="140" customWidth="1"/>
  </cols>
  <sheetData>
    <row r="1" ht="16.5" customHeight="1">
      <c r="T1" s="175" t="s">
        <v>62</v>
      </c>
    </row>
    <row r="2" ht="12.75">
      <c r="T2" s="174" t="s">
        <v>163</v>
      </c>
    </row>
    <row r="3" ht="12.75">
      <c r="T3" s="174"/>
    </row>
    <row r="4" spans="1:20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 t="s">
        <v>162</v>
      </c>
    </row>
    <row r="5" spans="1:20" ht="23.25" customHeight="1">
      <c r="A5" s="170"/>
      <c r="B5" s="172" t="s">
        <v>161</v>
      </c>
      <c r="C5" s="172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4"/>
      <c r="R5" s="171" t="s">
        <v>160</v>
      </c>
      <c r="S5" s="166"/>
      <c r="T5" s="171" t="s">
        <v>159</v>
      </c>
    </row>
    <row r="6" spans="1:21" s="150" customFormat="1" ht="102" customHeight="1">
      <c r="A6" s="170"/>
      <c r="B6" s="167" t="s">
        <v>10</v>
      </c>
      <c r="C6" s="166"/>
      <c r="D6" s="169" t="s">
        <v>48</v>
      </c>
      <c r="E6" s="168"/>
      <c r="F6" s="167" t="s">
        <v>29</v>
      </c>
      <c r="G6" s="166"/>
      <c r="H6" s="167" t="s">
        <v>158</v>
      </c>
      <c r="I6" s="166"/>
      <c r="J6" s="167" t="s">
        <v>157</v>
      </c>
      <c r="K6" s="166"/>
      <c r="L6" s="167" t="s">
        <v>156</v>
      </c>
      <c r="M6" s="166"/>
      <c r="N6" s="167" t="s">
        <v>13</v>
      </c>
      <c r="O6" s="166"/>
      <c r="P6" s="167" t="s">
        <v>155</v>
      </c>
      <c r="Q6" s="166"/>
      <c r="R6" s="165"/>
      <c r="S6" s="164"/>
      <c r="T6" s="163"/>
      <c r="U6" s="151"/>
    </row>
    <row r="7" spans="1:21" s="150" customFormat="1" ht="12.75">
      <c r="A7" s="146" t="s">
        <v>154</v>
      </c>
      <c r="B7" s="162">
        <f>168170444-291974</f>
        <v>167878470</v>
      </c>
      <c r="C7" s="145"/>
      <c r="D7" s="162">
        <f>1461271</f>
        <v>1461271</v>
      </c>
      <c r="E7" s="145"/>
      <c r="F7" s="162">
        <v>15181181</v>
      </c>
      <c r="G7" s="145"/>
      <c r="H7" s="162">
        <v>0</v>
      </c>
      <c r="I7" s="145"/>
      <c r="J7" s="162">
        <f>-96684</f>
        <v>-96684</v>
      </c>
      <c r="K7" s="145"/>
      <c r="L7" s="162">
        <f>-1785</f>
        <v>-1785</v>
      </c>
      <c r="M7" s="145"/>
      <c r="N7" s="162">
        <f>-110405106</f>
        <v>-110405106</v>
      </c>
      <c r="O7" s="145"/>
      <c r="P7" s="162">
        <f>B7+D7+F7+N7+J7+L7</f>
        <v>74017347</v>
      </c>
      <c r="Q7" s="145"/>
      <c r="R7" s="162">
        <f>181773</f>
        <v>181773</v>
      </c>
      <c r="S7" s="145"/>
      <c r="T7" s="162">
        <f>P7+R7</f>
        <v>74199120</v>
      </c>
      <c r="U7" s="151"/>
    </row>
    <row r="8" spans="1:21" s="155" customFormat="1" ht="12.75">
      <c r="A8" s="143" t="s">
        <v>153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3">
        <f>-1344897</f>
        <v>-1344897</v>
      </c>
      <c r="O8" s="152"/>
      <c r="P8" s="153">
        <f>B8+D8+F8+N8+J8+L8</f>
        <v>-1344897</v>
      </c>
      <c r="Q8" s="145"/>
      <c r="R8" s="152">
        <f>49858</f>
        <v>49858</v>
      </c>
      <c r="S8" s="152"/>
      <c r="T8" s="153">
        <f>P8+R8</f>
        <v>-1295039</v>
      </c>
      <c r="U8" s="161"/>
    </row>
    <row r="9" spans="1:21" s="150" customFormat="1" ht="12.75">
      <c r="A9" s="146" t="s">
        <v>152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3"/>
      <c r="O9" s="145"/>
      <c r="P9" s="153">
        <f>B9+D9+F9+N9+J9+L9</f>
        <v>0</v>
      </c>
      <c r="Q9" s="145"/>
      <c r="R9" s="145"/>
      <c r="S9" s="145"/>
      <c r="T9" s="153"/>
      <c r="U9" s="151"/>
    </row>
    <row r="10" spans="1:21" s="150" customFormat="1" ht="63.75">
      <c r="A10" s="160" t="s">
        <v>151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3"/>
      <c r="O10" s="145"/>
      <c r="P10" s="153"/>
      <c r="Q10" s="145"/>
      <c r="R10" s="145"/>
      <c r="S10" s="145"/>
      <c r="T10" s="153"/>
      <c r="U10" s="151"/>
    </row>
    <row r="11" spans="1:21" s="150" customFormat="1" ht="62.25" customHeight="1">
      <c r="A11" s="143" t="s">
        <v>150</v>
      </c>
      <c r="B11" s="158">
        <v>0</v>
      </c>
      <c r="C11" s="158"/>
      <c r="D11" s="158">
        <v>0</v>
      </c>
      <c r="E11" s="158"/>
      <c r="F11" s="158">
        <v>0</v>
      </c>
      <c r="G11" s="158"/>
      <c r="H11" s="158">
        <v>0</v>
      </c>
      <c r="I11" s="158"/>
      <c r="J11" s="158">
        <f>2724</f>
        <v>2724</v>
      </c>
      <c r="K11" s="158"/>
      <c r="L11" s="158">
        <v>0</v>
      </c>
      <c r="M11" s="158"/>
      <c r="N11" s="153">
        <v>0</v>
      </c>
      <c r="O11" s="145"/>
      <c r="P11" s="153">
        <f>B11+D11+F11+N11+J11+L11</f>
        <v>2724</v>
      </c>
      <c r="Q11" s="145"/>
      <c r="R11" s="158">
        <v>0</v>
      </c>
      <c r="S11" s="152"/>
      <c r="T11" s="153">
        <f>P11+R11</f>
        <v>2724</v>
      </c>
      <c r="U11" s="151"/>
    </row>
    <row r="12" spans="1:20" ht="57.75" customHeight="1">
      <c r="A12" s="143" t="s">
        <v>149</v>
      </c>
      <c r="B12" s="158">
        <v>0</v>
      </c>
      <c r="C12" s="158"/>
      <c r="D12" s="158">
        <v>0</v>
      </c>
      <c r="E12" s="158"/>
      <c r="F12" s="158">
        <v>0</v>
      </c>
      <c r="G12" s="158"/>
      <c r="H12" s="158">
        <v>0</v>
      </c>
      <c r="I12" s="158"/>
      <c r="J12" s="158">
        <f>-81776-J7-J11</f>
        <v>12184</v>
      </c>
      <c r="K12" s="158"/>
      <c r="L12" s="158">
        <v>0</v>
      </c>
      <c r="M12" s="158"/>
      <c r="N12" s="153">
        <v>0</v>
      </c>
      <c r="P12" s="153">
        <f>B12+D12+F12+N12+J12+L12</f>
        <v>12184</v>
      </c>
      <c r="Q12" s="145"/>
      <c r="R12" s="158">
        <f>23728*2.857%</f>
        <v>677.9089600000001</v>
      </c>
      <c r="S12" s="152"/>
      <c r="T12" s="153">
        <f>P12+R12</f>
        <v>12861.90896</v>
      </c>
    </row>
    <row r="13" spans="1:20" ht="51">
      <c r="A13" s="143" t="s">
        <v>148</v>
      </c>
      <c r="B13" s="157">
        <v>0</v>
      </c>
      <c r="C13" s="158"/>
      <c r="D13" s="157">
        <v>0</v>
      </c>
      <c r="E13" s="158"/>
      <c r="F13" s="157">
        <v>0</v>
      </c>
      <c r="G13" s="158"/>
      <c r="H13" s="157">
        <v>0</v>
      </c>
      <c r="I13" s="158"/>
      <c r="J13" s="157">
        <v>0</v>
      </c>
      <c r="K13" s="158"/>
      <c r="L13" s="157">
        <f>12556-L7</f>
        <v>14341</v>
      </c>
      <c r="M13" s="158"/>
      <c r="N13" s="156">
        <v>0</v>
      </c>
      <c r="P13" s="156">
        <f>B13+D13+F13+N13+J13+L13</f>
        <v>14341</v>
      </c>
      <c r="Q13" s="145"/>
      <c r="R13" s="157">
        <f>5711*2.857%-1175</f>
        <v>-1011.83673</v>
      </c>
      <c r="S13" s="152"/>
      <c r="T13" s="156">
        <f>P13+R13</f>
        <v>13329.163270000001</v>
      </c>
    </row>
    <row r="14" spans="1:20" ht="25.5">
      <c r="A14" s="146" t="s">
        <v>147</v>
      </c>
      <c r="J14" s="145">
        <f>SUM(J9:J13)</f>
        <v>14908</v>
      </c>
      <c r="K14" s="145"/>
      <c r="L14" s="145">
        <f>SUM(L9:L13)</f>
        <v>14341</v>
      </c>
      <c r="M14" s="145"/>
      <c r="N14" s="145"/>
      <c r="O14" s="145"/>
      <c r="P14" s="153">
        <f>B14+D14+F14+N14+J14+L14</f>
        <v>29249</v>
      </c>
      <c r="Q14" s="145"/>
      <c r="R14" s="153">
        <f>SUM(R9:R13)</f>
        <v>-333.9277699999999</v>
      </c>
      <c r="S14" s="145"/>
      <c r="T14" s="153">
        <f>SUM(T9:T13)</f>
        <v>28915.07223</v>
      </c>
    </row>
    <row r="15" spans="1:20" ht="24.75" customHeight="1">
      <c r="A15" s="143" t="s">
        <v>146</v>
      </c>
      <c r="B15" s="157">
        <v>0</v>
      </c>
      <c r="D15" s="157">
        <v>0</v>
      </c>
      <c r="F15" s="157">
        <v>0</v>
      </c>
      <c r="H15" s="157">
        <f>1135697</f>
        <v>1135697</v>
      </c>
      <c r="I15" s="158"/>
      <c r="J15" s="157">
        <v>0</v>
      </c>
      <c r="K15" s="158"/>
      <c r="L15" s="157">
        <v>0</v>
      </c>
      <c r="M15" s="158"/>
      <c r="N15" s="156">
        <f>-1135697</f>
        <v>-1135697</v>
      </c>
      <c r="P15" s="156">
        <f>B15+D15+F15+N15+J15+L15</f>
        <v>-1135697</v>
      </c>
      <c r="Q15" s="145"/>
      <c r="R15" s="159"/>
      <c r="T15" s="156">
        <f>P15+R15</f>
        <v>-1135697</v>
      </c>
    </row>
    <row r="16" spans="1:21" s="150" customFormat="1" ht="26.25" customHeight="1">
      <c r="A16" s="146" t="s">
        <v>145</v>
      </c>
      <c r="B16" s="153">
        <f>SUM(B8:B13)</f>
        <v>0</v>
      </c>
      <c r="C16" s="145"/>
      <c r="D16" s="153">
        <f>SUM(D8:D13)</f>
        <v>0</v>
      </c>
      <c r="E16" s="145"/>
      <c r="F16" s="153">
        <f>SUM(F8:F13)</f>
        <v>0</v>
      </c>
      <c r="G16" s="145"/>
      <c r="H16" s="153">
        <f>SUM(H15)</f>
        <v>1135697</v>
      </c>
      <c r="I16" s="145"/>
      <c r="J16" s="153">
        <f>J8+J14</f>
        <v>14908</v>
      </c>
      <c r="K16" s="145"/>
      <c r="L16" s="153">
        <f>L8+L14</f>
        <v>14341</v>
      </c>
      <c r="M16" s="145"/>
      <c r="N16" s="153">
        <f>N8+N14+N15</f>
        <v>-2480594</v>
      </c>
      <c r="O16" s="145"/>
      <c r="P16" s="153">
        <f>B16+D16+F16+N16+J16+L16</f>
        <v>-2451345</v>
      </c>
      <c r="Q16" s="145"/>
      <c r="R16" s="153">
        <f>R8+R14</f>
        <v>49524.07223</v>
      </c>
      <c r="S16" s="145"/>
      <c r="T16" s="153">
        <f>T8+T14</f>
        <v>-1266123.92777</v>
      </c>
      <c r="U16" s="151"/>
    </row>
    <row r="17" spans="1:21" s="150" customFormat="1" ht="40.5" customHeight="1">
      <c r="A17" s="146" t="s">
        <v>144</v>
      </c>
      <c r="B17" s="158">
        <v>0</v>
      </c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158"/>
      <c r="N17" s="158">
        <v>0</v>
      </c>
      <c r="O17" s="158"/>
      <c r="P17" s="158">
        <v>0</v>
      </c>
      <c r="Q17" s="145"/>
      <c r="R17" s="158">
        <v>0</v>
      </c>
      <c r="S17" s="145"/>
      <c r="T17" s="153">
        <v>0</v>
      </c>
      <c r="U17" s="151"/>
    </row>
    <row r="18" spans="1:21" s="155" customFormat="1" ht="38.25">
      <c r="A18" s="143" t="s">
        <v>143</v>
      </c>
      <c r="B18" s="158">
        <v>0</v>
      </c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158"/>
      <c r="N18" s="158">
        <v>0</v>
      </c>
      <c r="O18" s="158"/>
      <c r="P18" s="158">
        <f>B18+D18+F18+N18+J18+L18</f>
        <v>0</v>
      </c>
      <c r="Q18" s="145"/>
      <c r="R18" s="158">
        <f>-(1172772*2.857%)</f>
        <v>-33506.096040000004</v>
      </c>
      <c r="S18" s="152"/>
      <c r="T18" s="153">
        <f>P18+R18</f>
        <v>-33506.096040000004</v>
      </c>
      <c r="U18" s="152"/>
    </row>
    <row r="19" spans="1:21" s="155" customFormat="1" ht="25.5">
      <c r="A19" s="143" t="s">
        <v>142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158"/>
      <c r="L19" s="157">
        <v>0</v>
      </c>
      <c r="M19" s="158"/>
      <c r="N19" s="157">
        <f>-1761850</f>
        <v>-1761850</v>
      </c>
      <c r="O19" s="152"/>
      <c r="P19" s="156">
        <f>B19+D19+F19+N19+J19+L19</f>
        <v>-1761850</v>
      </c>
      <c r="Q19" s="145"/>
      <c r="R19" s="157">
        <v>0</v>
      </c>
      <c r="S19" s="152"/>
      <c r="T19" s="156">
        <f>P19+R19</f>
        <v>-1761850</v>
      </c>
      <c r="U19" s="152"/>
    </row>
    <row r="20" spans="1:21" s="150" customFormat="1" ht="33.75" customHeight="1" thickBot="1">
      <c r="A20" s="146" t="s">
        <v>141</v>
      </c>
      <c r="B20" s="154">
        <f>B16+B7+B18+B19</f>
        <v>167878470</v>
      </c>
      <c r="C20" s="148"/>
      <c r="D20" s="154">
        <f>D16+D7+D18+D19</f>
        <v>1461271</v>
      </c>
      <c r="E20" s="148"/>
      <c r="F20" s="154">
        <f>F16+F7+F18+F19</f>
        <v>15181181</v>
      </c>
      <c r="G20" s="148"/>
      <c r="H20" s="154">
        <f>H16+H7+H18+H19</f>
        <v>1135697</v>
      </c>
      <c r="I20" s="148"/>
      <c r="J20" s="154">
        <f>J16+J7+J18+J19</f>
        <v>-81776</v>
      </c>
      <c r="K20" s="148"/>
      <c r="L20" s="154">
        <f>L16+L7+L18+L19</f>
        <v>12556</v>
      </c>
      <c r="M20" s="148"/>
      <c r="N20" s="154">
        <f>N16+N7+N18+N19</f>
        <v>-114647550</v>
      </c>
      <c r="O20" s="148"/>
      <c r="P20" s="154">
        <f>B20+D20+F20+N20+J20+L20</f>
        <v>69804152</v>
      </c>
      <c r="Q20" s="145"/>
      <c r="R20" s="154">
        <f>R16+R7+R18+R19</f>
        <v>197790.97619</v>
      </c>
      <c r="S20" s="148"/>
      <c r="T20" s="154">
        <f>T16+T7+T18+T19</f>
        <v>71137639.97619</v>
      </c>
      <c r="U20" s="151"/>
    </row>
    <row r="21" spans="1:21" s="150" customFormat="1" ht="12.75">
      <c r="A21" s="146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53"/>
      <c r="U21" s="151"/>
    </row>
    <row r="22" spans="1:21" s="150" customFormat="1" ht="12.75">
      <c r="A22" s="14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51"/>
    </row>
    <row r="23" spans="1:21" s="150" customFormat="1" ht="12.75">
      <c r="A23" s="146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52"/>
      <c r="Q23" s="152"/>
      <c r="R23" s="145"/>
      <c r="S23" s="145"/>
      <c r="T23" s="145"/>
      <c r="U23" s="151"/>
    </row>
    <row r="24" spans="1:20" ht="12.75">
      <c r="A24" s="146" t="s">
        <v>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 t="s">
        <v>36</v>
      </c>
    </row>
    <row r="25" spans="1:20" ht="12.75">
      <c r="A25" s="146"/>
      <c r="B25" s="149"/>
      <c r="C25" s="149"/>
      <c r="D25" s="149"/>
      <c r="E25" s="149"/>
      <c r="F25" s="149"/>
      <c r="G25" s="148"/>
      <c r="H25" s="148"/>
      <c r="I25" s="148"/>
      <c r="J25" s="148"/>
      <c r="K25" s="148"/>
      <c r="L25" s="148"/>
      <c r="M25" s="148"/>
      <c r="N25" s="145"/>
      <c r="O25" s="145"/>
      <c r="P25" s="145"/>
      <c r="Q25" s="145"/>
      <c r="R25" s="145"/>
      <c r="S25" s="145"/>
      <c r="T25" s="147"/>
    </row>
    <row r="26" spans="1:20" ht="12.75">
      <c r="A26" s="146" t="s">
        <v>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 t="s">
        <v>34</v>
      </c>
    </row>
  </sheetData>
  <sheetProtection/>
  <mergeCells count="5">
    <mergeCell ref="A5:A6"/>
    <mergeCell ref="B5:P5"/>
    <mergeCell ref="R5:R6"/>
    <mergeCell ref="B25:F25"/>
    <mergeCell ref="T5:T6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scale="64" r:id="rId1"/>
  <headerFooter alignWithMargins="0">
    <oddFooter>&amp;CКонсолидированный отчет об изменениях в капитале должен рассматриваться вместе с примечаниями к данной консолидированной финансовой отчетности, которые являются
ее неотъемлемой частью.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Q39" sqref="Q39"/>
    </sheetView>
  </sheetViews>
  <sheetFormatPr defaultColWidth="9.00390625" defaultRowHeight="12.75"/>
  <cols>
    <col min="1" max="1" width="33.00390625" style="178" customWidth="1"/>
    <col min="2" max="2" width="14.875" style="177" customWidth="1"/>
    <col min="3" max="3" width="1.75390625" style="177" customWidth="1"/>
    <col min="4" max="4" width="14.25390625" style="177" customWidth="1"/>
    <col min="5" max="5" width="1.625" style="177" customWidth="1"/>
    <col min="6" max="6" width="13.375" style="177" customWidth="1"/>
    <col min="7" max="7" width="1.25" style="177" customWidth="1"/>
    <col min="8" max="8" width="16.125" style="177" customWidth="1"/>
    <col min="9" max="9" width="1.25" style="177" customWidth="1"/>
    <col min="10" max="10" width="13.125" style="177" customWidth="1"/>
    <col min="11" max="11" width="1.12109375" style="177" customWidth="1"/>
    <col min="12" max="12" width="12.375" style="177" customWidth="1"/>
    <col min="13" max="13" width="1.625" style="177" customWidth="1"/>
    <col min="14" max="14" width="13.875" style="177" customWidth="1"/>
    <col min="15" max="15" width="1.75390625" style="177" customWidth="1"/>
    <col min="16" max="16" width="14.375" style="177" customWidth="1"/>
    <col min="17" max="17" width="1.37890625" style="177" customWidth="1"/>
    <col min="18" max="18" width="14.625" style="177" customWidth="1"/>
    <col min="19" max="19" width="8.75390625" style="176" bestFit="1" customWidth="1"/>
    <col min="20" max="16384" width="9.125" style="176" customWidth="1"/>
  </cols>
  <sheetData>
    <row r="1" ht="12.75">
      <c r="R1" s="175" t="s">
        <v>62</v>
      </c>
    </row>
    <row r="2" ht="12.75">
      <c r="R2" s="174" t="s">
        <v>163</v>
      </c>
    </row>
    <row r="3" spans="1:18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 t="s">
        <v>162</v>
      </c>
    </row>
    <row r="5" spans="1:18" ht="30.75" customHeight="1">
      <c r="A5" s="198"/>
      <c r="B5" s="172" t="s">
        <v>161</v>
      </c>
      <c r="C5" s="172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199"/>
      <c r="P5" s="171" t="s">
        <v>160</v>
      </c>
      <c r="Q5" s="166"/>
      <c r="R5" s="171" t="s">
        <v>159</v>
      </c>
    </row>
    <row r="6" spans="1:18" s="180" customFormat="1" ht="102" customHeight="1">
      <c r="A6" s="198"/>
      <c r="B6" s="167" t="s">
        <v>10</v>
      </c>
      <c r="C6" s="166"/>
      <c r="D6" s="169" t="s">
        <v>48</v>
      </c>
      <c r="E6" s="168"/>
      <c r="F6" s="167" t="s">
        <v>29</v>
      </c>
      <c r="G6" s="166"/>
      <c r="H6" s="167" t="s">
        <v>157</v>
      </c>
      <c r="I6" s="166"/>
      <c r="J6" s="167" t="s">
        <v>156</v>
      </c>
      <c r="K6" s="166"/>
      <c r="L6" s="167" t="s">
        <v>13</v>
      </c>
      <c r="M6" s="166"/>
      <c r="N6" s="167" t="s">
        <v>155</v>
      </c>
      <c r="O6" s="166"/>
      <c r="P6" s="165"/>
      <c r="Q6" s="164"/>
      <c r="R6" s="163"/>
    </row>
    <row r="7" spans="1:18" s="180" customFormat="1" ht="12.75">
      <c r="A7" s="182" t="s">
        <v>166</v>
      </c>
      <c r="B7" s="153">
        <v>167878470</v>
      </c>
      <c r="C7" s="153"/>
      <c r="D7" s="153">
        <v>1461271</v>
      </c>
      <c r="E7" s="153"/>
      <c r="F7" s="153">
        <v>15181181</v>
      </c>
      <c r="G7" s="153"/>
      <c r="H7" s="162">
        <v>-64465</v>
      </c>
      <c r="I7" s="162"/>
      <c r="J7" s="162">
        <f>-66397</f>
        <v>-66397</v>
      </c>
      <c r="K7" s="162"/>
      <c r="L7" s="153">
        <v>-110417735</v>
      </c>
      <c r="M7" s="153"/>
      <c r="N7" s="153">
        <f>B7+D7+F7+L7+H7+J7</f>
        <v>73972325</v>
      </c>
      <c r="O7" s="153"/>
      <c r="P7" s="153">
        <v>213442</v>
      </c>
      <c r="Q7" s="153"/>
      <c r="R7" s="153">
        <f>N7+P7</f>
        <v>74185767</v>
      </c>
    </row>
    <row r="8" spans="1:18" s="185" customFormat="1" ht="20.25" customHeight="1">
      <c r="A8" s="143" t="s">
        <v>153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>
        <f>2896104</f>
        <v>2896104</v>
      </c>
      <c r="M8" s="158"/>
      <c r="N8" s="153">
        <f>B8+D8+F8+L8+H8+J8</f>
        <v>2896104</v>
      </c>
      <c r="O8" s="153"/>
      <c r="P8" s="196">
        <v>67734</v>
      </c>
      <c r="Q8" s="196"/>
      <c r="R8" s="153">
        <f>N8+P8</f>
        <v>2963838</v>
      </c>
    </row>
    <row r="9" spans="1:18" s="180" customFormat="1" ht="12.75">
      <c r="A9" s="182" t="s">
        <v>165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89"/>
      <c r="Q9" s="189"/>
      <c r="R9" s="153"/>
    </row>
    <row r="10" spans="1:18" s="180" customFormat="1" ht="54.75" customHeight="1">
      <c r="A10" s="197" t="s">
        <v>151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89"/>
      <c r="Q10" s="189"/>
      <c r="R10" s="153"/>
    </row>
    <row r="11" spans="1:18" s="180" customFormat="1" ht="40.5" customHeight="1">
      <c r="A11" s="178" t="s">
        <v>150</v>
      </c>
      <c r="B11" s="153">
        <v>0</v>
      </c>
      <c r="C11" s="153"/>
      <c r="D11" s="153">
        <v>0</v>
      </c>
      <c r="E11" s="153"/>
      <c r="F11" s="153">
        <v>0</v>
      </c>
      <c r="G11" s="153"/>
      <c r="H11" s="158">
        <v>51494</v>
      </c>
      <c r="I11" s="158"/>
      <c r="J11" s="153">
        <v>0</v>
      </c>
      <c r="K11" s="153"/>
      <c r="L11" s="153">
        <v>0</v>
      </c>
      <c r="M11" s="153"/>
      <c r="N11" s="153">
        <f>B11+D11+F11+L11+H11+J11</f>
        <v>51494</v>
      </c>
      <c r="O11" s="153"/>
      <c r="P11" s="153">
        <v>0</v>
      </c>
      <c r="Q11" s="196"/>
      <c r="R11" s="153">
        <f>N11+P11</f>
        <v>51494</v>
      </c>
    </row>
    <row r="12" spans="1:18" ht="52.5" customHeight="1">
      <c r="A12" s="143" t="s">
        <v>149</v>
      </c>
      <c r="B12" s="153">
        <v>0</v>
      </c>
      <c r="C12" s="194"/>
      <c r="D12" s="153">
        <v>0</v>
      </c>
      <c r="E12" s="194"/>
      <c r="F12" s="153">
        <v>0</v>
      </c>
      <c r="G12" s="194"/>
      <c r="H12" s="194">
        <v>263251</v>
      </c>
      <c r="I12" s="194"/>
      <c r="J12" s="153">
        <v>0</v>
      </c>
      <c r="K12" s="194"/>
      <c r="L12" s="153">
        <v>0</v>
      </c>
      <c r="M12" s="194"/>
      <c r="N12" s="153">
        <f>B12+D12+F12+L12+H12+J12</f>
        <v>263251</v>
      </c>
      <c r="O12" s="153"/>
      <c r="P12" s="192">
        <v>-190</v>
      </c>
      <c r="Q12" s="192"/>
      <c r="R12" s="153">
        <f>N12+P12</f>
        <v>263061</v>
      </c>
    </row>
    <row r="13" spans="1:18" ht="51">
      <c r="A13" s="143" t="s">
        <v>148</v>
      </c>
      <c r="B13" s="195">
        <v>0</v>
      </c>
      <c r="C13" s="194"/>
      <c r="D13" s="195">
        <v>0</v>
      </c>
      <c r="E13" s="194"/>
      <c r="F13" s="195">
        <v>0</v>
      </c>
      <c r="G13" s="194"/>
      <c r="H13" s="195">
        <v>0</v>
      </c>
      <c r="I13" s="194"/>
      <c r="J13" s="195">
        <v>611748</v>
      </c>
      <c r="K13" s="194"/>
      <c r="L13" s="195">
        <v>0</v>
      </c>
      <c r="M13" s="194"/>
      <c r="N13" s="156">
        <f>B13+D13+F13+L13+H13+J13</f>
        <v>611748</v>
      </c>
      <c r="O13" s="153"/>
      <c r="P13" s="193">
        <v>13092</v>
      </c>
      <c r="Q13" s="192"/>
      <c r="R13" s="156">
        <f>N13+P13</f>
        <v>624840</v>
      </c>
    </row>
    <row r="14" spans="1:18" s="180" customFormat="1" ht="26.25" customHeight="1">
      <c r="A14" s="146" t="s">
        <v>145</v>
      </c>
      <c r="B14" s="190">
        <f>SUM(B8:B13)</f>
        <v>0</v>
      </c>
      <c r="C14" s="153"/>
      <c r="D14" s="190">
        <f>SUM(D8:D13)</f>
        <v>0</v>
      </c>
      <c r="E14" s="153"/>
      <c r="F14" s="190">
        <f>SUM(F8:F13)</f>
        <v>0</v>
      </c>
      <c r="G14" s="153"/>
      <c r="H14" s="190">
        <f>SUM(H8:H13)</f>
        <v>314745</v>
      </c>
      <c r="I14" s="153"/>
      <c r="J14" s="190">
        <f>SUM(J8:J13)</f>
        <v>611748</v>
      </c>
      <c r="K14" s="153"/>
      <c r="L14" s="190">
        <f>SUM(L8:L13)</f>
        <v>2896104</v>
      </c>
      <c r="M14" s="153"/>
      <c r="N14" s="190">
        <f>SUM(N8:N13)</f>
        <v>3822597</v>
      </c>
      <c r="O14" s="153"/>
      <c r="P14" s="191">
        <f>SUM(P8:P13)</f>
        <v>80636</v>
      </c>
      <c r="Q14" s="189"/>
      <c r="R14" s="190">
        <f>SUM(R8:R13)</f>
        <v>3903233</v>
      </c>
    </row>
    <row r="15" spans="1:18" s="180" customFormat="1" ht="39.75" customHeight="1">
      <c r="A15" s="146" t="s">
        <v>144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89"/>
      <c r="Q15" s="189"/>
      <c r="R15" s="153"/>
    </row>
    <row r="16" spans="1:19" s="185" customFormat="1" ht="38.25">
      <c r="A16" s="143" t="s">
        <v>143</v>
      </c>
      <c r="B16" s="157">
        <v>0</v>
      </c>
      <c r="C16" s="158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K16" s="158"/>
      <c r="L16" s="157">
        <v>0</v>
      </c>
      <c r="M16" s="158"/>
      <c r="N16" s="157">
        <v>0</v>
      </c>
      <c r="O16" s="153"/>
      <c r="P16" s="188">
        <v>-36339</v>
      </c>
      <c r="Q16" s="187"/>
      <c r="R16" s="156">
        <f>N16+P16</f>
        <v>-36339</v>
      </c>
      <c r="S16" s="186"/>
    </row>
    <row r="17" spans="1:18" s="180" customFormat="1" ht="26.25" thickBot="1">
      <c r="A17" s="146" t="s">
        <v>164</v>
      </c>
      <c r="B17" s="183">
        <f>B14+B7</f>
        <v>167878470</v>
      </c>
      <c r="C17" s="184"/>
      <c r="D17" s="183">
        <f>D14+D7</f>
        <v>1461271</v>
      </c>
      <c r="E17" s="184"/>
      <c r="F17" s="183">
        <f>F14+F7</f>
        <v>15181181</v>
      </c>
      <c r="G17" s="184"/>
      <c r="H17" s="183">
        <f>H14+H7</f>
        <v>250280</v>
      </c>
      <c r="I17" s="184"/>
      <c r="J17" s="183">
        <f>J14+J7</f>
        <v>545351</v>
      </c>
      <c r="K17" s="184"/>
      <c r="L17" s="183">
        <f>L14+L7</f>
        <v>-107521631</v>
      </c>
      <c r="M17" s="184"/>
      <c r="N17" s="183">
        <f>B17+D17+F17+L17+H17+J17</f>
        <v>77794922</v>
      </c>
      <c r="O17" s="153"/>
      <c r="P17" s="183">
        <f>P14+P7+P16</f>
        <v>257739</v>
      </c>
      <c r="Q17" s="184"/>
      <c r="R17" s="183">
        <f>R14+R7+R16</f>
        <v>78052661</v>
      </c>
    </row>
    <row r="18" spans="1:18" s="180" customFormat="1" ht="12.75">
      <c r="A18" s="14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s="180" customFormat="1" ht="12.75">
      <c r="A19" s="146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s="180" customFormat="1" ht="12.75">
      <c r="A20" s="182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1"/>
      <c r="O20" s="181"/>
      <c r="P20" s="179"/>
      <c r="Q20" s="179"/>
      <c r="R20" s="179"/>
    </row>
    <row r="21" spans="1:18" s="180" customFormat="1" ht="12.75">
      <c r="A21" s="18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1"/>
      <c r="O21" s="181"/>
      <c r="P21" s="179"/>
      <c r="Q21" s="179"/>
      <c r="R21" s="179"/>
    </row>
    <row r="22" spans="1:18" s="180" customFormat="1" ht="12.75">
      <c r="A22" s="18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1"/>
      <c r="O22" s="181"/>
      <c r="P22" s="179"/>
      <c r="Q22" s="179"/>
      <c r="R22" s="179"/>
    </row>
    <row r="23" spans="1:17" ht="12.75">
      <c r="A23" s="4" t="s">
        <v>35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6" t="s">
        <v>36</v>
      </c>
    </row>
    <row r="24" spans="2:16" ht="12.75">
      <c r="B24" s="149"/>
      <c r="C24" s="149"/>
      <c r="D24" s="149"/>
      <c r="E24" s="149"/>
      <c r="F24" s="149"/>
      <c r="G24" s="148"/>
      <c r="H24" s="148"/>
      <c r="I24" s="148"/>
      <c r="J24" s="179"/>
      <c r="K24" s="179"/>
      <c r="L24" s="179"/>
      <c r="M24" s="179"/>
      <c r="N24" s="179"/>
      <c r="O24" s="179"/>
      <c r="P24" s="179"/>
    </row>
    <row r="25" spans="1:17" ht="12.75">
      <c r="A25" s="4" t="s">
        <v>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6" t="s">
        <v>34</v>
      </c>
    </row>
  </sheetData>
  <sheetProtection/>
  <mergeCells count="6">
    <mergeCell ref="B5:N5"/>
    <mergeCell ref="P5:P6"/>
    <mergeCell ref="B24:F24"/>
    <mergeCell ref="R5:R6"/>
    <mergeCell ref="A3:R3"/>
    <mergeCell ref="A5:A6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scale="72" r:id="rId1"/>
  <headerFooter>
    <oddFooter>&amp;CКонсолидированный отчет об изменениях в капитале должен рассматриваться вместе с примечаниями к данной консолидированной финансовой отчетности, которые являются
ее неотъемлемой частью.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nataliy-dv</cp:lastModifiedBy>
  <cp:lastPrinted>2014-11-07T04:37:51Z</cp:lastPrinted>
  <dcterms:created xsi:type="dcterms:W3CDTF">2007-04-23T08:44:03Z</dcterms:created>
  <dcterms:modified xsi:type="dcterms:W3CDTF">2014-11-14T09:28:55Z</dcterms:modified>
  <cp:category/>
  <cp:version/>
  <cp:contentType/>
  <cp:contentStatus/>
</cp:coreProperties>
</file>