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5640" activeTab="4"/>
  </bookViews>
  <sheets>
    <sheet name="Конс Б-с ф.1 на 01 04 2014" sheetId="1" r:id="rId1"/>
    <sheet name="Конс ОПУ ф.2 на 01 04 2014" sheetId="2" r:id="rId2"/>
    <sheet name="Конс ф. 3 на 01 04 2013г" sheetId="3" r:id="rId3"/>
    <sheet name="Отчет" sheetId="4" r:id="rId4"/>
    <sheet name="Отчет 2014" sheetId="5" r:id="rId5"/>
  </sheets>
  <definedNames/>
  <calcPr fullCalcOnLoad="1"/>
</workbook>
</file>

<file path=xl/sharedStrings.xml><?xml version="1.0" encoding="utf-8"?>
<sst xmlns="http://schemas.openxmlformats.org/spreadsheetml/2006/main" count="221" uniqueCount="163">
  <si>
    <t>АО 'АТФБанк'</t>
  </si>
  <si>
    <t>(в тысячах  тенге)</t>
  </si>
  <si>
    <t>Наименование</t>
  </si>
  <si>
    <t xml:space="preserve">Расходы по вознаграждению </t>
  </si>
  <si>
    <t xml:space="preserve">Чистый доход в виде вознаграждения </t>
  </si>
  <si>
    <t xml:space="preserve">Чистые комиссионные доходы </t>
  </si>
  <si>
    <t xml:space="preserve">Прочие доходы, не связанные с вознаграждением </t>
  </si>
  <si>
    <t xml:space="preserve">Прочие расходы, не связанные с вознаграждением </t>
  </si>
  <si>
    <t>Форма 2</t>
  </si>
  <si>
    <t>форма 1</t>
  </si>
  <si>
    <t>(наименование банка)</t>
  </si>
  <si>
    <t>АКТИВЫ</t>
  </si>
  <si>
    <t>Денежные средства и их эквиваленты</t>
  </si>
  <si>
    <t>Прочие активы</t>
  </si>
  <si>
    <t>ОБЯЗАТЕЛЬСТВА</t>
  </si>
  <si>
    <t>Прочие обязательства</t>
  </si>
  <si>
    <t>в том числе:</t>
  </si>
  <si>
    <t>Объявленный уставный капитал - простые акции</t>
  </si>
  <si>
    <t xml:space="preserve">Собственные выкупленные акции </t>
  </si>
  <si>
    <t xml:space="preserve">Комиссионные доходы </t>
  </si>
  <si>
    <t xml:space="preserve">Комиссионные расходы 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</si>
  <si>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</si>
  <si>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>ГЛАВНЫЙ  БУХГАЛТЕР</t>
  </si>
  <si>
    <t>ДЕРЕВЯНКО А.М.</t>
  </si>
  <si>
    <t>Акционерный капитал</t>
  </si>
  <si>
    <t xml:space="preserve">Расходы (экономия) по подоходному налогу </t>
  </si>
  <si>
    <t>Резерв по переоценке активов, имеющихся в наличии для продажи</t>
  </si>
  <si>
    <t xml:space="preserve"> ИТОГО КАПИТАЛА к распределению между акционерами банка </t>
  </si>
  <si>
    <t>ИТОГО КАПИТАЛА</t>
  </si>
  <si>
    <t xml:space="preserve"> ИТОГО ОБЯЗАТЕЛЬСТВ И КАПИТАЛА</t>
  </si>
  <si>
    <t xml:space="preserve"> ИТОГО ОБЯЗАТЕЛЬСТВ</t>
  </si>
  <si>
    <t xml:space="preserve"> ИТОГО АКТИВОВ</t>
  </si>
  <si>
    <t>КАПИТАЛ</t>
  </si>
  <si>
    <t xml:space="preserve">по займам клиентам </t>
  </si>
  <si>
    <t>по ценным бумагам</t>
  </si>
  <si>
    <t xml:space="preserve">по средствам в кредитных учреждениях </t>
  </si>
  <si>
    <t xml:space="preserve">Доходы в виде вознаграждения </t>
  </si>
  <si>
    <t xml:space="preserve">по средствам клиентов  </t>
  </si>
  <si>
    <t xml:space="preserve">по средствам кредитных учреждений </t>
  </si>
  <si>
    <t xml:space="preserve">по выпущенным долговым ценным бумагам </t>
  </si>
  <si>
    <t xml:space="preserve">по субординированному долгу </t>
  </si>
  <si>
    <t xml:space="preserve"> КОНСОЛИДИРОВАННЫЙ ОТЧЕТ О ПРИБЫЛЯХ И УБЫТКАХ И СОВОКУПНОМ ДОХОДЕ</t>
  </si>
  <si>
    <t>Резерв по переоценке активов, имеющихся в наличии для продажи:</t>
  </si>
  <si>
    <t>Накопленные убытки</t>
  </si>
  <si>
    <t xml:space="preserve">Прочие общие и административные расходы </t>
  </si>
  <si>
    <t>Финансовые инструменты, оцениваемые по справедливой стоимости, изменения которой отражаются в составе прибыли или убытка за период - находящиеся в собственности группы</t>
  </si>
  <si>
    <t>Кредиты и авансы, выданные банкам</t>
  </si>
  <si>
    <t>Кредиты, выданные клиентам</t>
  </si>
  <si>
    <t>Основные средства и нематериальные активы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</si>
  <si>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</si>
  <si>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Депозиты и счета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</si>
  <si>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</si>
  <si>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</si>
  <si>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</si>
  <si>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Накопленный резерв по переводу в валюту</t>
  </si>
  <si>
    <t>Чистая прибыль от операций с иностранной валютой</t>
  </si>
  <si>
    <t>Акционеров Банка</t>
  </si>
  <si>
    <t>Миноритариев (неконтролирующих акционеров)</t>
  </si>
  <si>
    <t xml:space="preserve">- Чистое изменение справедливой стоимости </t>
  </si>
  <si>
    <t>- Чистое изменение справедливой стоимости, перенесенное в состав прибыли или убытка</t>
  </si>
  <si>
    <t xml:space="preserve">Курсовые разницы </t>
  </si>
  <si>
    <t>Акционерами Банка</t>
  </si>
  <si>
    <t>Миноритариями (неконтролирующими акционерами)</t>
  </si>
  <si>
    <t>Финансовые активы, имеющиеся в наличии для продажи</t>
  </si>
  <si>
    <t xml:space="preserve"> - находящиеся в собственности группы</t>
  </si>
  <si>
    <t>Прибыль на акцию</t>
  </si>
  <si>
    <t>Базовый и разводненный убыток на акцию в тенге</t>
  </si>
  <si>
    <t xml:space="preserve"> КОНСОЛИДИРОВАННЫЙ ОТЧЕТ О ФИНАНСОВОМ ПОЛОЖЕНИИ</t>
  </si>
  <si>
    <t>Текущий налоговый актив</t>
  </si>
  <si>
    <t>Отложенный налоговый актив</t>
  </si>
  <si>
    <t>Доля неконтролирующих акционеров</t>
  </si>
  <si>
    <t>Общий резерв</t>
  </si>
  <si>
    <t>ПРЕДСЕДАТЕЛЬ ПРАВЛЕНИЯ</t>
  </si>
  <si>
    <t>ЭНТОНИ ЭСПИНА</t>
  </si>
  <si>
    <t>Операционные доходы</t>
  </si>
  <si>
    <t>Дополнительно оплаченный капитал</t>
  </si>
  <si>
    <t>Расходы на персонал (выплаты)</t>
  </si>
  <si>
    <t>Прочие операционные доходы</t>
  </si>
  <si>
    <t>(Убыток)/прибыль от выкупленных собственных долговых инструментов</t>
  </si>
  <si>
    <t>Чистый убыток от операций с производными финансовыми инструментами</t>
  </si>
  <si>
    <t>Прибыль/(убыток) до налогообложения</t>
  </si>
  <si>
    <t>Прибыль/(убыток) за период</t>
  </si>
  <si>
    <t>Прибыль / (Убыток) за год к распределению относимый на:</t>
  </si>
  <si>
    <t>Итого сокупного дохода /(убытка) за год</t>
  </si>
  <si>
    <t>Совокупный доход /(убыток) за год относимый к распределению между:</t>
  </si>
  <si>
    <t>неаудированный отчет</t>
  </si>
  <si>
    <t xml:space="preserve"> по состоянию на 31/ 03/ 2014 года</t>
  </si>
  <si>
    <t>на 01.01.2014г</t>
  </si>
  <si>
    <t>на 01.04.2014г</t>
  </si>
  <si>
    <t>из них (справочно):</t>
  </si>
  <si>
    <t>изъятое имущество</t>
  </si>
  <si>
    <t>за период с 01 01 - 31 03 2014 год</t>
  </si>
  <si>
    <t>за период с 01 01 - 31 03 2013 год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</si>
  <si>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</si>
  <si>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от выбытия основных средств и нематериальных активов</t>
  </si>
  <si>
    <t>Восстановление резервов от обесценения/ Убытки от обесценения</t>
  </si>
  <si>
    <t>Прочий совокупный доход</t>
  </si>
  <si>
    <t>дебиторская задолженность</t>
  </si>
  <si>
    <t>неаудированная форма</t>
  </si>
  <si>
    <t>Форма 3</t>
  </si>
  <si>
    <t xml:space="preserve"> КОНСОЛИДИРОВАННЫЙ ОТЧЕТ О ДВИЖЕНИИ ДЕНЕГ (прямым методом)</t>
  </si>
  <si>
    <t>за период с 01 01 - 31 03 2014 года</t>
  </si>
  <si>
    <t>за период с 01 01 - 31 03 2014 г</t>
  </si>
  <si>
    <t>за период с 01 01 - 31 03 2013 г</t>
  </si>
  <si>
    <t>Доходы, связанные с получением вознаграждения</t>
  </si>
  <si>
    <t>Расходы, связанные с выплатой вознаграждения</t>
  </si>
  <si>
    <t>Чистые (платежи) поступления от операций с фининструментами,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</si>
  <si>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Чистые поступления по операциям с иностранной валютой </t>
  </si>
  <si>
    <t>Комиссионные доходы</t>
  </si>
  <si>
    <t>Комиссионные расходы</t>
  </si>
  <si>
    <t>Поступления по прочим доходам</t>
  </si>
  <si>
    <t>Прочие общие и административные расходы (выплаты)</t>
  </si>
  <si>
    <t>Операционный доход до изменений в чистых операционных активах</t>
  </si>
  <si>
    <t>Увеличение/уменьшение операционных активов</t>
  </si>
  <si>
    <t>Финансовые инструменты, оцениваемые по справедливой стоимости, изменения которой отражаются в составе отчета о прибылях и убытках за период</t>
  </si>
  <si>
    <t>Увеличение/уменьшение операционных обязательств</t>
  </si>
  <si>
    <t>депозиты и счета банков прочих финансовых институтов</t>
  </si>
  <si>
    <t>текущие счета и депозиты клиентов</t>
  </si>
  <si>
    <t>финансовые инструменты, оцениваемые по справедливой стоимости, изменения которой отражаются в составе отчета о прибылях и убытках за период</t>
  </si>
  <si>
    <t>прочие обязательства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</si>
  <si>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</si>
  <si>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уплаченный/полученный</t>
  </si>
  <si>
    <t xml:space="preserve">Чистое поступление денежных средств от операционной деятельности </t>
  </si>
  <si>
    <t>Движение денежных средств от инвестиционной деятельности</t>
  </si>
  <si>
    <t>Приобретение финансовых активов,  имеющихся в наличии для продажи</t>
  </si>
  <si>
    <t>Продажа/погашение финансовых активов,  имеющихся в наличии для продажи</t>
  </si>
  <si>
    <t>Приобретение основных средств и нематериальных активов</t>
  </si>
  <si>
    <t>Продажа/выбытие основных средств и нематериальных активов</t>
  </si>
  <si>
    <t xml:space="preserve">Поступление денежных средств от инвестиционной деятельности </t>
  </si>
  <si>
    <t>Движение денежных средств от финансовой деятельности</t>
  </si>
  <si>
    <t>Погашение долговых ценных бумаг выпущенных</t>
  </si>
  <si>
    <t>Погашение субординированных займов</t>
  </si>
  <si>
    <t>Дивиденды уплаченные</t>
  </si>
  <si>
    <t xml:space="preserve">Долгосрочные привлечения от кредитных институтов </t>
  </si>
  <si>
    <t xml:space="preserve"> Погашение долгосрочных привлечений от кредитных институтов </t>
  </si>
  <si>
    <t>Использование чистых потоков денежных средств от финансовой деятельности</t>
  </si>
  <si>
    <t>Чистое увеличение/уменьшение денежных средств и их эквивалентов</t>
  </si>
  <si>
    <t>Влияние изменения валютных курсов на величину денежных средств и их эквивалентов</t>
  </si>
  <si>
    <t>Чистое движение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</si>
  <si>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</si>
  <si>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</si>
  <si>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"АТФБАНК"</t>
  </si>
  <si>
    <t xml:space="preserve">Форма №4 </t>
  </si>
  <si>
    <t>КОНСОЛИДИРОВАННЫЙ ОТЧЕТ ОБ ИЗМЕНЕНИЯХ В  СОБСТВЕННОМ КАПИТАЛЕ</t>
  </si>
  <si>
    <t xml:space="preserve"> за период с 01 01 - 31 03 2013г</t>
  </si>
  <si>
    <t>тыс.тенге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</si>
  <si>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</si>
  <si>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 консолидированной финансовой отчетности</t>
  </si>
  <si>
    <t>Итого</t>
  </si>
  <si>
    <t>Итого капитала</t>
  </si>
  <si>
    <t>Уставный капитал -  простые акции</t>
  </si>
  <si>
    <t xml:space="preserve">На 01 01 2013 года (аудированный) </t>
  </si>
  <si>
    <t>Чистый доход/убыток за год</t>
  </si>
  <si>
    <t>Прочий совокупный доход:</t>
  </si>
  <si>
    <t xml:space="preserve">чистое изменение справедливой стоимости активов, имеющихся в наличии для продажи </t>
  </si>
  <si>
    <t>Курсовые разницы</t>
  </si>
  <si>
    <t>Итого совокупного убытка/дохода за год</t>
  </si>
  <si>
    <t>Дивиденды дочерних организаций миноритарным акционерам</t>
  </si>
  <si>
    <t>За 31 марта 2013 года</t>
  </si>
  <si>
    <t xml:space="preserve"> за период с 01 01 - 31 03 2014г</t>
  </si>
  <si>
    <t>На 01 01 2014 года (аудированный)</t>
  </si>
  <si>
    <t>Чистый доход за год</t>
  </si>
  <si>
    <t>За 31 марта 2014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</si>
</sst>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 &quot;;\-#,##0&quot;  &quot;"/>
    <numFmt numFmtId="173" formatCode="#,##0&quot;  &quot;;[Red]\-#,##0&quot;  &quot;"/>
    <numFmt numFmtId="174" formatCode="#,##0.00&quot;  &quot;;\-#,##0.00&quot;  &quot;"/>
    <numFmt numFmtId="175" formatCode="#,##0.00&quot;  &quot;;[Red]\-#,##0.00&quot;  &quot;"/>
    <numFmt numFmtId="176" formatCode="_-* #,##0&quot;  &quot;_-;\-* #,##0&quot;  &quot;_-;_-* &quot;-&quot;&quot;  &quot;_-;_-@_-"/>
    <numFmt numFmtId="177" formatCode="_-* #,##0_ _ _-;\-* #,##0_ _ _-;_-* &quot;-&quot;_ _ _-;_-@_-"/>
    <numFmt numFmtId="178" formatCode="_-* #,##0.00&quot;  &quot;_-;\-* #,##0.00&quot;  &quot;_-;_-* &quot;-&quot;??&quot;  &quot;_-;_-@_-"/>
    <numFmt numFmtId="179" formatCode="_-* #,##0.00_ _ _-;\-* #,##0.00_ _ _-;_-* &quot;-&quot;??_ _ _-;_-@_-"/>
    <numFmt numFmtId="180" formatCode="#,##0.000"/>
    <numFmt numFmtId="181" formatCode="_(* #,##0_);_(* \(#,##0\);_(* &quot;-&quot;??_);_(@_)"/>
    <numFmt numFmtId="182" formatCode="_(* #,##0.00_);_(* \(#,##0.00\);_(* &quot;-&quot;??_);_(@_)"/>
    <numFmt numFmtId="183" formatCode="_-* #,##0.00_-;\-* #,##0.00_-;_-* &quot;-&quot;??_-;_-@_-"/>
    <numFmt numFmtId="184" formatCode="_-* #&quot; &quot;##0.00_ _-;\-* #&quot; &quot;##0.00_ _-;_-* &quot;-&quot;??_ _-;_-@_-"/>
    <numFmt numFmtId="185" formatCode="_(* #&quot; &quot;##0.00_);_(* \(#&quot; &quot;##0.00\);_(* &quot;-&quot;??_);_(@_)"/>
    <numFmt numFmtId="186" formatCode="_(* #,##0_);_(* \(#,##0\);_(* &quot;-&quot;_);_(@_)"/>
    <numFmt numFmtId="187" formatCode="_-* #,##0.0000_р_._-;\-* #,##0.0000_р_._-;_-* &quot;-&quot;????_р_._-;_-@_-"/>
    <numFmt numFmtId="188" formatCode="dd/mm/yyyy;@"/>
    <numFmt numFmtId="189" formatCode="_(* #,##0.0000_);_(* \(#,##0.0000\);_(* &quot;-&quot;??_);_(@_)"/>
    <numFmt numFmtId="190" formatCode="0.000"/>
    <numFmt numFmtId="191" formatCode="_(* #,##0.00_);_(* \(#,##0.00\);_(* &quot;-&quot;_);_(@_)"/>
  </numFmts>
  <fonts count="67">
    <font>
      <sz val="10"/>
      <name val="Arial Cyr"/>
      <family val="0"/>
    </font>
    <font>
      <sz val="10"/>
      <color indexed="63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i/>
      <sz val="9"/>
      <color indexed="8"/>
      <name val="Arial Cyr"/>
      <family val="2"/>
    </font>
    <font>
      <b/>
      <sz val="10"/>
      <color indexed="10"/>
      <name val="Arial Cyr"/>
      <family val="0"/>
    </font>
    <font>
      <i/>
      <sz val="9"/>
      <name val="Arial Cyr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Times New Roman"/>
      <family val="1"/>
    </font>
    <font>
      <i/>
      <sz val="9"/>
      <color indexed="63"/>
      <name val="Helv"/>
      <family val="0"/>
    </font>
    <font>
      <b/>
      <i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22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4" fillId="0" borderId="0" applyFont="0" applyFill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 wrapText="1"/>
      <protection/>
    </xf>
    <xf numFmtId="0" fontId="5" fillId="0" borderId="0" xfId="57" applyFont="1" applyAlignment="1">
      <alignment horizontal="left" vertical="center" wrapText="1"/>
      <protection/>
    </xf>
    <xf numFmtId="0" fontId="16" fillId="0" borderId="0" xfId="66" applyFont="1" applyAlignment="1">
      <alignment vertical="center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0" fontId="18" fillId="0" borderId="11" xfId="66" applyFont="1" applyFill="1" applyBorder="1" applyAlignment="1">
      <alignment vertical="center" wrapText="1"/>
      <protection/>
    </xf>
    <xf numFmtId="3" fontId="17" fillId="0" borderId="11" xfId="66" applyNumberFormat="1" applyFont="1" applyFill="1" applyBorder="1" applyAlignment="1">
      <alignment horizontal="center" vertical="center"/>
      <protection/>
    </xf>
    <xf numFmtId="0" fontId="17" fillId="0" borderId="0" xfId="66" applyFont="1" applyAlignment="1">
      <alignment vertical="center"/>
      <protection/>
    </xf>
    <xf numFmtId="0" fontId="19" fillId="0" borderId="12" xfId="66" applyFont="1" applyFill="1" applyBorder="1" applyAlignment="1">
      <alignment vertical="center" wrapText="1"/>
      <protection/>
    </xf>
    <xf numFmtId="3" fontId="19" fillId="0" borderId="12" xfId="66" applyNumberFormat="1" applyFont="1" applyFill="1" applyBorder="1" applyAlignment="1">
      <alignment horizontal="center" vertical="center" wrapText="1"/>
      <protection/>
    </xf>
    <xf numFmtId="0" fontId="18" fillId="0" borderId="12" xfId="66" applyFont="1" applyFill="1" applyBorder="1" applyAlignment="1">
      <alignment vertical="center" wrapText="1"/>
      <protection/>
    </xf>
    <xf numFmtId="3" fontId="17" fillId="0" borderId="12" xfId="66" applyNumberFormat="1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vertical="center" wrapText="1"/>
      <protection/>
    </xf>
    <xf numFmtId="3" fontId="2" fillId="0" borderId="12" xfId="66" applyNumberFormat="1" applyFont="1" applyFill="1" applyBorder="1" applyAlignment="1">
      <alignment horizontal="center" vertical="center" wrapText="1"/>
      <protection/>
    </xf>
    <xf numFmtId="3" fontId="20" fillId="0" borderId="12" xfId="66" applyNumberFormat="1" applyFont="1" applyFill="1" applyBorder="1" applyAlignment="1">
      <alignment horizontal="center" vertical="center" wrapText="1"/>
      <protection/>
    </xf>
    <xf numFmtId="0" fontId="17" fillId="0" borderId="0" xfId="66" applyFont="1" applyBorder="1" applyAlignment="1">
      <alignment vertical="center"/>
      <protection/>
    </xf>
    <xf numFmtId="3" fontId="17" fillId="0" borderId="0" xfId="66" applyNumberFormat="1" applyFont="1" applyBorder="1" applyAlignment="1">
      <alignment horizontal="center" vertical="center"/>
      <protection/>
    </xf>
    <xf numFmtId="0" fontId="17" fillId="0" borderId="0" xfId="66" applyFont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3" fontId="7" fillId="0" borderId="0" xfId="66" applyNumberFormat="1" applyFont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20" fillId="0" borderId="0" xfId="66" applyFont="1" applyFill="1" applyAlignment="1">
      <alignment vertical="center" wrapText="1"/>
      <protection/>
    </xf>
    <xf numFmtId="0" fontId="2" fillId="0" borderId="12" xfId="66" applyFont="1" applyFill="1" applyBorder="1" applyAlignment="1">
      <alignment vertical="center" wrapText="1"/>
      <protection/>
    </xf>
    <xf numFmtId="0" fontId="5" fillId="0" borderId="0" xfId="0" applyFont="1" applyAlignment="1">
      <alignment wrapText="1"/>
    </xf>
    <xf numFmtId="0" fontId="21" fillId="0" borderId="0" xfId="66" applyFont="1" applyAlignment="1">
      <alignment vertical="center" wrapText="1"/>
      <protection/>
    </xf>
    <xf numFmtId="0" fontId="16" fillId="0" borderId="0" xfId="66" applyFont="1" applyBorder="1" applyAlignment="1">
      <alignment vertical="center" wrapText="1"/>
      <protection/>
    </xf>
    <xf numFmtId="0" fontId="16" fillId="0" borderId="0" xfId="66" applyFont="1" applyAlignment="1">
      <alignment vertical="center" wrapText="1"/>
      <protection/>
    </xf>
    <xf numFmtId="0" fontId="6" fillId="0" borderId="0" xfId="66" applyFont="1" applyBorder="1" applyAlignment="1">
      <alignment vertical="center" wrapText="1"/>
      <protection/>
    </xf>
    <xf numFmtId="0" fontId="19" fillId="0" borderId="12" xfId="66" applyFont="1" applyFill="1" applyBorder="1" applyAlignment="1" quotePrefix="1">
      <alignment vertical="center" wrapText="1"/>
      <protection/>
    </xf>
    <xf numFmtId="0" fontId="23" fillId="0" borderId="12" xfId="66" applyFont="1" applyFill="1" applyBorder="1" applyAlignment="1">
      <alignment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3" fontId="23" fillId="0" borderId="12" xfId="66" applyNumberFormat="1" applyFont="1" applyFill="1" applyBorder="1" applyAlignment="1">
      <alignment horizontal="center" vertical="center" wrapText="1"/>
      <protection/>
    </xf>
    <xf numFmtId="0" fontId="18" fillId="34" borderId="12" xfId="66" applyFont="1" applyFill="1" applyBorder="1" applyAlignment="1">
      <alignment vertical="center" wrapText="1"/>
      <protection/>
    </xf>
    <xf numFmtId="3" fontId="17" fillId="34" borderId="12" xfId="66" applyNumberFormat="1" applyFont="1" applyFill="1" applyBorder="1" applyAlignment="1">
      <alignment horizontal="center" vertical="center"/>
      <protection/>
    </xf>
    <xf numFmtId="0" fontId="17" fillId="34" borderId="12" xfId="66" applyFont="1" applyFill="1" applyBorder="1" applyAlignment="1">
      <alignment vertical="center" wrapText="1"/>
      <protection/>
    </xf>
    <xf numFmtId="0" fontId="17" fillId="0" borderId="0" xfId="66" applyFont="1" applyFill="1" applyAlignment="1">
      <alignment vertical="center"/>
      <protection/>
    </xf>
    <xf numFmtId="0" fontId="18" fillId="0" borderId="0" xfId="66" applyFont="1" applyFill="1" applyAlignment="1">
      <alignment vertical="center" wrapText="1"/>
      <protection/>
    </xf>
    <xf numFmtId="3" fontId="20" fillId="0" borderId="0" xfId="66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0" xfId="66" applyFont="1" applyBorder="1" applyAlignment="1">
      <alignment vertical="center"/>
      <protection/>
    </xf>
    <xf numFmtId="3" fontId="7" fillId="0" borderId="0" xfId="66" applyNumberFormat="1" applyFont="1" applyBorder="1" applyAlignment="1">
      <alignment horizontal="center" vertical="center"/>
      <protection/>
    </xf>
    <xf numFmtId="3" fontId="17" fillId="0" borderId="13" xfId="57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 wrapText="1"/>
    </xf>
    <xf numFmtId="3" fontId="21" fillId="0" borderId="0" xfId="66" applyNumberFormat="1" applyFont="1" applyAlignment="1">
      <alignment horizontal="center" vertical="center" wrapText="1"/>
      <protection/>
    </xf>
    <xf numFmtId="3" fontId="5" fillId="0" borderId="0" xfId="66" applyNumberFormat="1" applyFont="1" applyBorder="1" applyAlignment="1">
      <alignment horizontal="center" vertical="center" wrapText="1"/>
      <protection/>
    </xf>
    <xf numFmtId="3" fontId="16" fillId="0" borderId="0" xfId="66" applyNumberFormat="1" applyFont="1" applyBorder="1" applyAlignment="1">
      <alignment horizontal="center" vertical="center" wrapText="1"/>
      <protection/>
    </xf>
    <xf numFmtId="3" fontId="2" fillId="0" borderId="12" xfId="66" applyNumberFormat="1" applyFont="1" applyFill="1" applyBorder="1" applyAlignment="1">
      <alignment horizontal="center" vertical="center" wrapText="1"/>
      <protection/>
    </xf>
    <xf numFmtId="3" fontId="18" fillId="0" borderId="12" xfId="66" applyNumberFormat="1" applyFont="1" applyFill="1" applyBorder="1" applyAlignment="1">
      <alignment horizontal="center" vertical="center" wrapText="1"/>
      <protection/>
    </xf>
    <xf numFmtId="3" fontId="19" fillId="0" borderId="12" xfId="66" applyNumberFormat="1" applyFont="1" applyFill="1" applyBorder="1" applyAlignment="1" quotePrefix="1">
      <alignment horizontal="center" vertical="center" wrapText="1"/>
      <protection/>
    </xf>
    <xf numFmtId="3" fontId="18" fillId="0" borderId="0" xfId="66" applyNumberFormat="1" applyFont="1" applyFill="1" applyAlignment="1">
      <alignment horizontal="center" vertical="center" wrapText="1"/>
      <protection/>
    </xf>
    <xf numFmtId="3" fontId="6" fillId="0" borderId="0" xfId="66" applyNumberFormat="1" applyFont="1" applyBorder="1" applyAlignment="1">
      <alignment horizontal="center" vertical="center" wrapText="1"/>
      <protection/>
    </xf>
    <xf numFmtId="3" fontId="16" fillId="0" borderId="0" xfId="66" applyNumberFormat="1" applyFont="1" applyAlignment="1">
      <alignment horizontal="center" vertical="center" wrapText="1"/>
      <protection/>
    </xf>
    <xf numFmtId="3" fontId="5" fillId="0" borderId="0" xfId="57" applyNumberFormat="1" applyFont="1" applyAlignment="1">
      <alignment horizontal="center" vertical="center" wrapText="1"/>
      <protection/>
    </xf>
    <xf numFmtId="3" fontId="6" fillId="33" borderId="14" xfId="57" applyNumberFormat="1" applyFont="1" applyFill="1" applyBorder="1" applyAlignment="1">
      <alignment horizontal="center" vertical="center" wrapText="1"/>
      <protection/>
    </xf>
    <xf numFmtId="3" fontId="11" fillId="0" borderId="0" xfId="70" applyNumberFormat="1" applyFont="1" applyFill="1" applyBorder="1" applyAlignment="1">
      <alignment horizontal="center" vertical="center" wrapText="1"/>
    </xf>
    <xf numFmtId="3" fontId="6" fillId="0" borderId="0" xfId="66" applyNumberFormat="1" applyFont="1" applyBorder="1" applyAlignment="1">
      <alignment horizontal="center" vertical="center"/>
      <protection/>
    </xf>
    <xf numFmtId="3" fontId="11" fillId="0" borderId="15" xfId="57" applyNumberFormat="1" applyFont="1" applyBorder="1" applyAlignment="1">
      <alignment horizontal="center" vertical="center" wrapText="1"/>
      <protection/>
    </xf>
    <xf numFmtId="3" fontId="12" fillId="0" borderId="16" xfId="70" applyNumberFormat="1" applyFont="1" applyFill="1" applyBorder="1" applyAlignment="1">
      <alignment horizontal="center" vertical="center" wrapText="1"/>
    </xf>
    <xf numFmtId="3" fontId="2" fillId="0" borderId="16" xfId="57" applyNumberFormat="1" applyFont="1" applyFill="1" applyBorder="1" applyAlignment="1">
      <alignment horizontal="center" vertical="center" wrapText="1"/>
      <protection/>
    </xf>
    <xf numFmtId="3" fontId="2" fillId="0" borderId="17" xfId="57" applyNumberFormat="1" applyFont="1" applyFill="1" applyBorder="1" applyAlignment="1">
      <alignment horizontal="center" vertical="center" wrapText="1"/>
      <protection/>
    </xf>
    <xf numFmtId="3" fontId="2" fillId="0" borderId="17" xfId="57" applyNumberFormat="1" applyFont="1" applyFill="1" applyBorder="1" applyAlignment="1">
      <alignment horizontal="center" vertical="center" wrapText="1"/>
      <protection/>
    </xf>
    <xf numFmtId="3" fontId="2" fillId="0" borderId="16" xfId="57" applyNumberFormat="1" applyFont="1" applyFill="1" applyBorder="1" applyAlignment="1">
      <alignment horizontal="center" vertical="center" wrapText="1"/>
      <protection/>
    </xf>
    <xf numFmtId="3" fontId="12" fillId="0" borderId="18" xfId="70" applyNumberFormat="1" applyFont="1" applyFill="1" applyBorder="1" applyAlignment="1">
      <alignment horizontal="center" vertical="center" wrapText="1"/>
    </xf>
    <xf numFmtId="3" fontId="12" fillId="0" borderId="17" xfId="70" applyNumberFormat="1" applyFont="1" applyFill="1" applyBorder="1" applyAlignment="1">
      <alignment horizontal="center" vertical="center" wrapText="1"/>
    </xf>
    <xf numFmtId="3" fontId="12" fillId="0" borderId="16" xfId="57" applyNumberFormat="1" applyFont="1" applyBorder="1" applyAlignment="1">
      <alignment horizontal="center" vertical="center"/>
      <protection/>
    </xf>
    <xf numFmtId="3" fontId="25" fillId="35" borderId="16" xfId="57" applyNumberFormat="1" applyFont="1" applyFill="1" applyBorder="1" applyAlignment="1">
      <alignment horizontal="center" vertical="center"/>
      <protection/>
    </xf>
    <xf numFmtId="3" fontId="11" fillId="0" borderId="16" xfId="70" applyNumberFormat="1" applyFont="1" applyFill="1" applyBorder="1" applyAlignment="1">
      <alignment horizontal="center" vertical="center" wrapText="1"/>
    </xf>
    <xf numFmtId="3" fontId="13" fillId="0" borderId="16" xfId="70" applyNumberFormat="1" applyFont="1" applyFill="1" applyBorder="1" applyAlignment="1">
      <alignment horizontal="center" vertical="center" wrapText="1"/>
    </xf>
    <xf numFmtId="3" fontId="6" fillId="35" borderId="16" xfId="68" applyNumberFormat="1" applyFont="1" applyFill="1" applyBorder="1" applyAlignment="1">
      <alignment horizontal="center" vertical="center" wrapText="1"/>
    </xf>
    <xf numFmtId="3" fontId="6" fillId="35" borderId="17" xfId="66" applyNumberFormat="1" applyFont="1" applyFill="1" applyBorder="1" applyAlignment="1">
      <alignment horizontal="center" vertical="center" wrapText="1"/>
      <protection/>
    </xf>
    <xf numFmtId="3" fontId="6" fillId="35" borderId="19" xfId="66" applyNumberFormat="1" applyFont="1" applyFill="1" applyBorder="1" applyAlignment="1">
      <alignment horizontal="center" vertical="center" wrapText="1"/>
      <protection/>
    </xf>
    <xf numFmtId="3" fontId="26" fillId="0" borderId="16" xfId="70" applyNumberFormat="1" applyFont="1" applyFill="1" applyBorder="1" applyAlignment="1">
      <alignment horizontal="center" vertical="center" wrapText="1"/>
    </xf>
    <xf numFmtId="3" fontId="25" fillId="35" borderId="16" xfId="70" applyNumberFormat="1" applyFont="1" applyFill="1" applyBorder="1" applyAlignment="1">
      <alignment horizontal="center" vertical="center" wrapText="1"/>
    </xf>
    <xf numFmtId="3" fontId="26" fillId="0" borderId="16" xfId="57" applyNumberFormat="1" applyFont="1" applyBorder="1" applyAlignment="1">
      <alignment horizontal="center" vertical="center" wrapText="1"/>
      <protection/>
    </xf>
    <xf numFmtId="3" fontId="26" fillId="0" borderId="18" xfId="70" applyNumberFormat="1" applyFont="1" applyFill="1" applyBorder="1" applyAlignment="1">
      <alignment horizontal="center" vertical="center" wrapText="1"/>
    </xf>
    <xf numFmtId="3" fontId="17" fillId="33" borderId="20" xfId="57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0" fontId="1" fillId="0" borderId="0" xfId="57" applyAlignment="1">
      <alignment horizontal="center" vertical="center"/>
      <protection/>
    </xf>
    <xf numFmtId="3" fontId="11" fillId="0" borderId="21" xfId="57" applyNumberFormat="1" applyFont="1" applyBorder="1" applyAlignment="1">
      <alignment horizontal="center" vertical="center" wrapText="1"/>
      <protection/>
    </xf>
    <xf numFmtId="3" fontId="12" fillId="0" borderId="22" xfId="70" applyNumberFormat="1" applyFont="1" applyFill="1" applyBorder="1" applyAlignment="1">
      <alignment horizontal="center" vertical="center" wrapText="1"/>
    </xf>
    <xf numFmtId="3" fontId="2" fillId="0" borderId="22" xfId="57" applyNumberFormat="1" applyFont="1" applyFill="1" applyBorder="1" applyAlignment="1">
      <alignment horizontal="center" vertical="center" wrapText="1"/>
      <protection/>
    </xf>
    <xf numFmtId="3" fontId="2" fillId="0" borderId="23" xfId="57" applyNumberFormat="1" applyFont="1" applyFill="1" applyBorder="1" applyAlignment="1">
      <alignment horizontal="center" vertical="center" wrapText="1"/>
      <protection/>
    </xf>
    <xf numFmtId="3" fontId="2" fillId="0" borderId="23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2" fillId="0" borderId="22" xfId="57" applyNumberFormat="1" applyFont="1" applyFill="1" applyBorder="1" applyAlignment="1">
      <alignment horizontal="center" vertical="center" wrapText="1"/>
      <protection/>
    </xf>
    <xf numFmtId="3" fontId="12" fillId="0" borderId="24" xfId="70" applyNumberFormat="1" applyFont="1" applyFill="1" applyBorder="1" applyAlignment="1">
      <alignment horizontal="center" vertical="center" wrapText="1"/>
    </xf>
    <xf numFmtId="3" fontId="12" fillId="0" borderId="23" xfId="70" applyNumberFormat="1" applyFont="1" applyFill="1" applyBorder="1" applyAlignment="1">
      <alignment horizontal="center" vertical="center" wrapText="1"/>
    </xf>
    <xf numFmtId="0" fontId="1" fillId="0" borderId="0" xfId="57" applyBorder="1" applyAlignment="1">
      <alignment horizontal="center" vertical="center"/>
      <protection/>
    </xf>
    <xf numFmtId="3" fontId="12" fillId="0" borderId="22" xfId="57" applyNumberFormat="1" applyFont="1" applyBorder="1" applyAlignment="1">
      <alignment horizontal="center" vertical="center"/>
      <protection/>
    </xf>
    <xf numFmtId="3" fontId="11" fillId="0" borderId="22" xfId="70" applyNumberFormat="1" applyFont="1" applyFill="1" applyBorder="1" applyAlignment="1">
      <alignment horizontal="center" vertical="center" wrapText="1"/>
    </xf>
    <xf numFmtId="0" fontId="22" fillId="0" borderId="0" xfId="57" applyFont="1" applyBorder="1" applyAlignment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0" xfId="57" applyFont="1" applyFill="1" applyBorder="1" applyAlignment="1">
      <alignment horizontal="center" vertical="center"/>
      <protection/>
    </xf>
    <xf numFmtId="0" fontId="1" fillId="0" borderId="0" xfId="57" applyFill="1" applyAlignment="1">
      <alignment horizontal="center" vertical="center"/>
      <protection/>
    </xf>
    <xf numFmtId="3" fontId="11" fillId="0" borderId="22" xfId="57" applyNumberFormat="1" applyFont="1" applyBorder="1" applyAlignment="1">
      <alignment horizontal="center" vertical="center" wrapText="1"/>
      <protection/>
    </xf>
    <xf numFmtId="3" fontId="13" fillId="0" borderId="22" xfId="70" applyNumberFormat="1" applyFont="1" applyFill="1" applyBorder="1" applyAlignment="1">
      <alignment horizontal="center" vertical="center" wrapText="1"/>
    </xf>
    <xf numFmtId="0" fontId="1" fillId="0" borderId="0" xfId="57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33" borderId="25" xfId="57" applyFont="1" applyFill="1" applyBorder="1" applyAlignment="1">
      <alignment horizontal="left" vertical="center" wrapText="1"/>
      <protection/>
    </xf>
    <xf numFmtId="0" fontId="11" fillId="0" borderId="21" xfId="57" applyFont="1" applyBorder="1" applyAlignment="1">
      <alignment horizontal="left" vertical="center" wrapText="1"/>
      <protection/>
    </xf>
    <xf numFmtId="1" fontId="12" fillId="0" borderId="22" xfId="70" applyNumberFormat="1" applyFont="1" applyFill="1" applyBorder="1" applyAlignment="1">
      <alignment horizontal="left" vertical="center" wrapText="1"/>
    </xf>
    <xf numFmtId="0" fontId="2" fillId="0" borderId="22" xfId="57" applyFont="1" applyFill="1" applyBorder="1" applyAlignment="1">
      <alignment horizontal="left" vertical="center" wrapText="1"/>
      <protection/>
    </xf>
    <xf numFmtId="0" fontId="2" fillId="0" borderId="23" xfId="57" applyFont="1" applyFill="1" applyBorder="1" applyAlignment="1">
      <alignment horizontal="left" vertical="center" wrapText="1"/>
      <protection/>
    </xf>
    <xf numFmtId="0" fontId="2" fillId="0" borderId="23" xfId="57" applyFont="1" applyFill="1" applyBorder="1" applyAlignment="1">
      <alignment horizontal="left" vertical="center" wrapText="1"/>
      <protection/>
    </xf>
    <xf numFmtId="0" fontId="2" fillId="0" borderId="22" xfId="57" applyFont="1" applyFill="1" applyBorder="1" applyAlignment="1">
      <alignment horizontal="left" vertical="center" wrapText="1"/>
      <protection/>
    </xf>
    <xf numFmtId="1" fontId="12" fillId="0" borderId="24" xfId="70" applyNumberFormat="1" applyFont="1" applyFill="1" applyBorder="1" applyAlignment="1">
      <alignment horizontal="left" vertical="center" wrapText="1"/>
    </xf>
    <xf numFmtId="1" fontId="12" fillId="0" borderId="23" xfId="70" applyNumberFormat="1" applyFont="1" applyFill="1" applyBorder="1" applyAlignment="1">
      <alignment horizontal="left" vertical="center" wrapText="1"/>
    </xf>
    <xf numFmtId="0" fontId="12" fillId="0" borderId="22" xfId="57" applyFont="1" applyBorder="1" applyAlignment="1">
      <alignment horizontal="left" vertical="center"/>
      <protection/>
    </xf>
    <xf numFmtId="1" fontId="11" fillId="36" borderId="22" xfId="70" applyNumberFormat="1" applyFont="1" applyFill="1" applyBorder="1" applyAlignment="1">
      <alignment horizontal="left" vertical="center" wrapText="1"/>
    </xf>
    <xf numFmtId="1" fontId="11" fillId="0" borderId="22" xfId="70" applyNumberFormat="1" applyFont="1" applyFill="1" applyBorder="1" applyAlignment="1">
      <alignment horizontal="left" vertical="center" wrapText="1"/>
    </xf>
    <xf numFmtId="0" fontId="11" fillId="0" borderId="22" xfId="57" applyFont="1" applyBorder="1" applyAlignment="1">
      <alignment horizontal="left" vertical="center" wrapText="1"/>
      <protection/>
    </xf>
    <xf numFmtId="1" fontId="13" fillId="0" borderId="22" xfId="70" applyNumberFormat="1" applyFont="1" applyFill="1" applyBorder="1" applyAlignment="1">
      <alignment horizontal="left" vertical="center" wrapText="1"/>
    </xf>
    <xf numFmtId="1" fontId="11" fillId="35" borderId="23" xfId="70" applyNumberFormat="1" applyFont="1" applyFill="1" applyBorder="1" applyAlignment="1">
      <alignment horizontal="left" vertical="center" wrapText="1"/>
    </xf>
    <xf numFmtId="1" fontId="11" fillId="36" borderId="26" xfId="70" applyNumberFormat="1" applyFont="1" applyFill="1" applyBorder="1" applyAlignment="1">
      <alignment horizontal="left" vertical="center" wrapText="1"/>
    </xf>
    <xf numFmtId="1" fontId="11" fillId="0" borderId="0" xfId="70" applyNumberFormat="1" applyFont="1" applyFill="1" applyBorder="1" applyAlignment="1">
      <alignment horizontal="left" vertical="center" wrapText="1"/>
    </xf>
    <xf numFmtId="0" fontId="7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>
      <alignment horizontal="left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3" fontId="7" fillId="0" borderId="0" xfId="66" applyNumberFormat="1" applyFont="1" applyBorder="1" applyAlignment="1">
      <alignment horizontal="right" vertical="center"/>
      <protection/>
    </xf>
    <xf numFmtId="0" fontId="13" fillId="0" borderId="22" xfId="57" applyFont="1" applyBorder="1" applyAlignment="1">
      <alignment horizontal="left" vertical="center"/>
      <protection/>
    </xf>
    <xf numFmtId="3" fontId="13" fillId="0" borderId="22" xfId="57" applyNumberFormat="1" applyFont="1" applyBorder="1" applyAlignment="1">
      <alignment horizontal="center" vertical="center"/>
      <protection/>
    </xf>
    <xf numFmtId="3" fontId="13" fillId="0" borderId="16" xfId="57" applyNumberFormat="1" applyFont="1" applyBorder="1" applyAlignment="1">
      <alignment horizontal="center" vertical="center"/>
      <protection/>
    </xf>
    <xf numFmtId="0" fontId="19" fillId="0" borderId="22" xfId="66" applyFont="1" applyFill="1" applyBorder="1" applyAlignment="1">
      <alignment vertical="center" wrapText="1"/>
      <protection/>
    </xf>
    <xf numFmtId="180" fontId="20" fillId="0" borderId="0" xfId="66" applyNumberFormat="1" applyFont="1" applyFill="1" applyAlignment="1">
      <alignment horizontal="center" vertical="center" wrapText="1"/>
      <protection/>
    </xf>
    <xf numFmtId="0" fontId="8" fillId="0" borderId="27" xfId="57" applyFont="1" applyBorder="1" applyAlignment="1">
      <alignment horizontal="center" vertical="center" wrapText="1"/>
      <protection/>
    </xf>
    <xf numFmtId="0" fontId="7" fillId="0" borderId="0" xfId="57" applyNumberFormat="1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66" applyFont="1" applyBorder="1" applyAlignment="1">
      <alignment horizontal="center" vertical="center" wrapText="1"/>
      <protection/>
    </xf>
    <xf numFmtId="0" fontId="7" fillId="0" borderId="0" xfId="66" applyNumberFormat="1" applyFont="1" applyAlignment="1">
      <alignment horizontal="center" vertical="center" wrapText="1"/>
      <protection/>
    </xf>
    <xf numFmtId="0" fontId="8" fillId="0" borderId="0" xfId="66" applyFont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1" fillId="0" borderId="0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center" vertical="center"/>
      <protection/>
    </xf>
    <xf numFmtId="3" fontId="21" fillId="0" borderId="0" xfId="66" applyNumberFormat="1" applyFont="1" applyBorder="1" applyAlignment="1">
      <alignment horizontal="center" vertical="center"/>
      <protection/>
    </xf>
    <xf numFmtId="0" fontId="7" fillId="33" borderId="25" xfId="57" applyFont="1" applyFill="1" applyBorder="1" applyAlignment="1">
      <alignment horizontal="left" vertical="center" wrapText="1"/>
      <protection/>
    </xf>
    <xf numFmtId="3" fontId="7" fillId="33" borderId="28" xfId="57" applyNumberFormat="1" applyFont="1" applyFill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3" fontId="66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66" applyFont="1" applyBorder="1" applyAlignment="1">
      <alignment horizontal="center" vertical="center"/>
      <protection/>
    </xf>
    <xf numFmtId="0" fontId="21" fillId="0" borderId="0" xfId="66" applyFont="1" applyAlignment="1">
      <alignment horizontal="left" vertical="center"/>
      <protection/>
    </xf>
    <xf numFmtId="0" fontId="21" fillId="0" borderId="0" xfId="66" applyFont="1" applyAlignment="1">
      <alignment horizontal="center" vertical="center"/>
      <protection/>
    </xf>
    <xf numFmtId="3" fontId="21" fillId="0" borderId="0" xfId="66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7" fillId="0" borderId="0" xfId="55" applyAlignment="1">
      <alignment horizontal="left" vertical="top" wrapText="1"/>
      <protection/>
    </xf>
    <xf numFmtId="3" fontId="47" fillId="0" borderId="0" xfId="55" applyNumberFormat="1" applyAlignment="1">
      <alignment horizontal="right" vertical="top"/>
      <protection/>
    </xf>
    <xf numFmtId="0" fontId="47" fillId="0" borderId="0" xfId="55">
      <alignment/>
      <protection/>
    </xf>
    <xf numFmtId="0" fontId="7" fillId="0" borderId="31" xfId="56" applyFont="1" applyBorder="1" applyAlignment="1">
      <alignment horizontal="left" vertical="top" wrapText="1"/>
      <protection/>
    </xf>
    <xf numFmtId="3" fontId="5" fillId="0" borderId="0" xfId="56" applyNumberFormat="1" applyFont="1" applyAlignment="1">
      <alignment horizontal="right" vertical="top"/>
      <protection/>
    </xf>
    <xf numFmtId="0" fontId="5" fillId="0" borderId="0" xfId="56" applyFont="1" applyAlignment="1">
      <alignment horizontal="left" vertical="top" wrapText="1"/>
      <protection/>
    </xf>
    <xf numFmtId="0" fontId="7" fillId="0" borderId="0" xfId="56" applyFont="1" applyAlignment="1">
      <alignment horizontal="center" vertical="top" wrapText="1"/>
      <protection/>
    </xf>
    <xf numFmtId="0" fontId="48" fillId="0" borderId="0" xfId="55" applyFont="1">
      <alignment/>
      <protection/>
    </xf>
    <xf numFmtId="0" fontId="7" fillId="0" borderId="0" xfId="58" applyFont="1" applyAlignment="1">
      <alignment horizontal="center" vertical="top" wrapText="1"/>
      <protection/>
    </xf>
    <xf numFmtId="0" fontId="7" fillId="0" borderId="0" xfId="58" applyFont="1" applyAlignment="1">
      <alignment horizontal="center" vertical="top" wrapText="1"/>
      <protection/>
    </xf>
    <xf numFmtId="0" fontId="5" fillId="37" borderId="12" xfId="56" applyFont="1" applyFill="1" applyBorder="1" applyAlignment="1">
      <alignment horizontal="left" vertical="top" wrapText="1"/>
      <protection/>
    </xf>
    <xf numFmtId="3" fontId="7" fillId="37" borderId="12" xfId="56" applyNumberFormat="1" applyFont="1" applyFill="1" applyBorder="1" applyAlignment="1">
      <alignment horizontal="center" vertical="center" wrapText="1"/>
      <protection/>
    </xf>
    <xf numFmtId="0" fontId="7" fillId="37" borderId="12" xfId="56" applyNumberFormat="1" applyFont="1" applyFill="1" applyBorder="1" applyAlignment="1">
      <alignment horizontal="center" vertical="center" wrapText="1"/>
      <protection/>
    </xf>
    <xf numFmtId="0" fontId="7" fillId="37" borderId="12" xfId="59" applyNumberFormat="1" applyFont="1" applyFill="1" applyBorder="1" applyAlignment="1">
      <alignment horizontal="center" vertical="center" wrapText="1"/>
      <protection/>
    </xf>
    <xf numFmtId="0" fontId="7" fillId="37" borderId="12" xfId="59" applyNumberFormat="1" applyFont="1" applyFill="1" applyBorder="1" applyAlignment="1">
      <alignment horizontal="center" vertical="center" wrapText="1"/>
      <protection/>
    </xf>
    <xf numFmtId="0" fontId="47" fillId="37" borderId="12" xfId="55" applyFill="1" applyBorder="1" applyAlignment="1">
      <alignment vertical="center" wrapText="1"/>
      <protection/>
    </xf>
    <xf numFmtId="0" fontId="48" fillId="37" borderId="12" xfId="55" applyFont="1" applyFill="1" applyBorder="1" applyAlignment="1">
      <alignment vertical="center" wrapText="1"/>
      <protection/>
    </xf>
    <xf numFmtId="0" fontId="48" fillId="0" borderId="32" xfId="55" applyFont="1" applyBorder="1" applyAlignment="1">
      <alignment horizontal="left" vertical="top" wrapText="1"/>
      <protection/>
    </xf>
    <xf numFmtId="3" fontId="48" fillId="0" borderId="12" xfId="55" applyNumberFormat="1" applyFont="1" applyBorder="1" applyAlignment="1">
      <alignment horizontal="right" vertical="top"/>
      <protection/>
    </xf>
    <xf numFmtId="0" fontId="47" fillId="0" borderId="32" xfId="55" applyBorder="1" applyAlignment="1">
      <alignment horizontal="left" vertical="center" wrapText="1"/>
      <protection/>
    </xf>
    <xf numFmtId="3" fontId="47" fillId="0" borderId="12" xfId="55" applyNumberFormat="1" applyFont="1" applyFill="1" applyBorder="1" applyAlignment="1">
      <alignment horizontal="right" vertical="top"/>
      <protection/>
    </xf>
    <xf numFmtId="3" fontId="48" fillId="0" borderId="12" xfId="55" applyNumberFormat="1" applyFont="1" applyFill="1" applyBorder="1" applyAlignment="1">
      <alignment horizontal="right" vertical="top"/>
      <protection/>
    </xf>
    <xf numFmtId="0" fontId="47" fillId="0" borderId="0" xfId="55" applyFont="1">
      <alignment/>
      <protection/>
    </xf>
    <xf numFmtId="3" fontId="47" fillId="0" borderId="12" xfId="55" applyNumberFormat="1" applyFill="1" applyBorder="1" applyAlignment="1">
      <alignment horizontal="right" vertical="top"/>
      <protection/>
    </xf>
    <xf numFmtId="0" fontId="48" fillId="0" borderId="32" xfId="55" applyFont="1" applyBorder="1" applyAlignment="1">
      <alignment horizontal="left" vertical="center" wrapText="1"/>
      <protection/>
    </xf>
    <xf numFmtId="0" fontId="47" fillId="0" borderId="32" xfId="55" applyFont="1" applyBorder="1" applyAlignment="1">
      <alignment horizontal="left" vertical="center" wrapText="1"/>
      <protection/>
    </xf>
    <xf numFmtId="3" fontId="47" fillId="0" borderId="0" xfId="55" applyNumberFormat="1" applyFont="1" applyBorder="1" applyAlignment="1">
      <alignment horizontal="right" vertical="top"/>
      <protection/>
    </xf>
    <xf numFmtId="0" fontId="48" fillId="0" borderId="33" xfId="55" applyFont="1" applyFill="1" applyBorder="1" applyAlignment="1">
      <alignment horizontal="left" vertical="center" wrapText="1"/>
      <protection/>
    </xf>
    <xf numFmtId="3" fontId="48" fillId="0" borderId="12" xfId="55" applyNumberFormat="1" applyFont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horizontal="left" vertical="center" wrapText="1"/>
      <protection/>
    </xf>
    <xf numFmtId="3" fontId="48" fillId="0" borderId="0" xfId="55" applyNumberFormat="1" applyFont="1" applyBorder="1" applyAlignment="1">
      <alignment horizontal="center" vertical="center" wrapText="1"/>
      <protection/>
    </xf>
    <xf numFmtId="3" fontId="48" fillId="0" borderId="0" xfId="55" applyNumberFormat="1" applyFont="1" applyFill="1" applyBorder="1" applyAlignment="1">
      <alignment horizontal="center" vertical="center" wrapText="1"/>
      <protection/>
    </xf>
    <xf numFmtId="0" fontId="48" fillId="0" borderId="0" xfId="55" applyFont="1" applyAlignment="1">
      <alignment horizontal="left" vertical="top" wrapText="1"/>
      <protection/>
    </xf>
    <xf numFmtId="3" fontId="48" fillId="0" borderId="0" xfId="55" applyNumberFormat="1" applyFont="1" applyAlignment="1">
      <alignment horizontal="right" vertical="top"/>
      <protection/>
    </xf>
    <xf numFmtId="3" fontId="47" fillId="0" borderId="0" xfId="55" applyNumberFormat="1" applyFont="1" applyFill="1" applyBorder="1" applyAlignment="1">
      <alignment horizontal="right" vertical="top"/>
      <protection/>
    </xf>
    <xf numFmtId="3" fontId="48" fillId="0" borderId="0" xfId="55" applyNumberFormat="1" applyFont="1" applyAlignment="1">
      <alignment horizontal="center" vertical="center" wrapText="1"/>
      <protection/>
    </xf>
    <xf numFmtId="3" fontId="47" fillId="0" borderId="12" xfId="55" applyNumberFormat="1" applyFill="1" applyBorder="1" applyAlignment="1">
      <alignment horizontal="right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ook1" xfId="33"/>
    <cellStyle name="Normal_ATF Bank_2008_M_Securities_WP_D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God_Формы фин.отчетности_BWU_09_11_03" xfId="56"/>
    <cellStyle name="Обычный_Лист1" xfId="57"/>
    <cellStyle name="Обычный_Лист1 2" xfId="58"/>
    <cellStyle name="Обычный_Формы ФО для НПФ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_Лист1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6.875" style="101" customWidth="1"/>
    <col min="2" max="2" width="24.00390625" style="77" customWidth="1"/>
    <col min="3" max="3" width="23.875" style="77" customWidth="1"/>
    <col min="4" max="32" width="16.75390625" style="39" customWidth="1"/>
    <col min="33" max="16384" width="9.125" style="39" customWidth="1"/>
  </cols>
  <sheetData>
    <row r="1" ht="12.75">
      <c r="A1" s="101" t="s">
        <v>85</v>
      </c>
    </row>
    <row r="3" spans="1:17" ht="12.75">
      <c r="A3" s="3"/>
      <c r="B3" s="53"/>
      <c r="C3" s="121" t="s">
        <v>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2.75" customHeight="1">
      <c r="A4" s="129" t="s">
        <v>67</v>
      </c>
      <c r="B4" s="129"/>
      <c r="C4" s="12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2.75">
      <c r="A5" s="130" t="s">
        <v>0</v>
      </c>
      <c r="B5" s="130"/>
      <c r="C5" s="130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2.75">
      <c r="A6" s="131" t="s">
        <v>10</v>
      </c>
      <c r="B6" s="131"/>
      <c r="C6" s="13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.75">
      <c r="A7" s="130" t="s">
        <v>86</v>
      </c>
      <c r="B7" s="130"/>
      <c r="C7" s="130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3.5" thickBot="1">
      <c r="A8" s="128" t="s">
        <v>1</v>
      </c>
      <c r="B8" s="128"/>
      <c r="C8" s="12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21" customHeight="1" thickBot="1">
      <c r="A9" s="102" t="s">
        <v>2</v>
      </c>
      <c r="B9" s="54" t="s">
        <v>88</v>
      </c>
      <c r="C9" s="54" t="s">
        <v>87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2.75">
      <c r="A10" s="103" t="s">
        <v>11</v>
      </c>
      <c r="B10" s="79"/>
      <c r="C10" s="5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2.75">
      <c r="A11" s="104" t="s">
        <v>12</v>
      </c>
      <c r="B11" s="80">
        <f>157147285+19402892</f>
        <v>176550177</v>
      </c>
      <c r="C11" s="58">
        <v>199981647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51">
      <c r="A12" s="105" t="s">
        <v>45</v>
      </c>
      <c r="B12" s="81">
        <v>101891</v>
      </c>
      <c r="C12" s="59">
        <v>113184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25.5">
      <c r="A13" s="106" t="s">
        <v>63</v>
      </c>
      <c r="B13" s="82"/>
      <c r="C13" s="60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s="85" customFormat="1" ht="12.75">
      <c r="A14" s="107" t="s">
        <v>64</v>
      </c>
      <c r="B14" s="83">
        <v>1761647</v>
      </c>
      <c r="C14" s="61">
        <v>3619491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2.75">
      <c r="A15" s="104" t="s">
        <v>46</v>
      </c>
      <c r="B15" s="80">
        <v>13045185</v>
      </c>
      <c r="C15" s="58">
        <v>8606203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85" customFormat="1" ht="12.75">
      <c r="A16" s="108" t="s">
        <v>47</v>
      </c>
      <c r="B16" s="86">
        <v>653131089</v>
      </c>
      <c r="C16" s="62">
        <v>558211933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ht="12.75">
      <c r="A17" s="109" t="s">
        <v>68</v>
      </c>
      <c r="B17" s="87">
        <v>1020175</v>
      </c>
      <c r="C17" s="63">
        <v>1040173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2.75">
      <c r="A18" s="110" t="s">
        <v>69</v>
      </c>
      <c r="B18" s="88">
        <v>5164736</v>
      </c>
      <c r="C18" s="64">
        <v>5164736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110" t="s">
        <v>48</v>
      </c>
      <c r="B19" s="88">
        <v>19620310</v>
      </c>
      <c r="C19" s="64">
        <v>19725263</v>
      </c>
      <c r="D19" s="89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2.75">
      <c r="A20" s="111" t="s">
        <v>13</v>
      </c>
      <c r="B20" s="90">
        <f>4994945+(21800432-3190014)+1313</f>
        <v>23606676</v>
      </c>
      <c r="C20" s="65">
        <v>22529778</v>
      </c>
      <c r="D20" s="89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2.75">
      <c r="A21" s="111" t="s">
        <v>89</v>
      </c>
      <c r="B21" s="90"/>
      <c r="C21" s="65"/>
      <c r="D21" s="89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s="94" customFormat="1" ht="12">
      <c r="A22" s="123" t="s">
        <v>90</v>
      </c>
      <c r="B22" s="124">
        <f>21800432-3190014</f>
        <v>18610418</v>
      </c>
      <c r="C22" s="125">
        <f>21563092-3176260</f>
        <v>18386832</v>
      </c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s="94" customFormat="1" ht="12">
      <c r="A23" s="123" t="s">
        <v>97</v>
      </c>
      <c r="B23" s="124">
        <v>3834510</v>
      </c>
      <c r="C23" s="125">
        <v>3206638</v>
      </c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ht="12.75">
      <c r="A24" s="112" t="s">
        <v>31</v>
      </c>
      <c r="B24" s="66">
        <f>SUM(B11:B20)</f>
        <v>894001886</v>
      </c>
      <c r="C24" s="66">
        <f>SUM(C11:C20)</f>
        <v>818992408</v>
      </c>
      <c r="D24" s="8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2.75">
      <c r="A25" s="113" t="s">
        <v>14</v>
      </c>
      <c r="B25" s="91"/>
      <c r="C25" s="67"/>
      <c r="D25" s="89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51.75" customHeight="1">
      <c r="A26" s="105" t="s">
        <v>49</v>
      </c>
      <c r="B26" s="81">
        <v>47017</v>
      </c>
      <c r="C26" s="72">
        <v>15660</v>
      </c>
      <c r="D26" s="89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s="94" customFormat="1" ht="39" customHeight="1">
      <c r="A27" s="104" t="s">
        <v>50</v>
      </c>
      <c r="B27" s="80">
        <f>13170902</f>
        <v>13170902</v>
      </c>
      <c r="C27" s="59">
        <v>12929211</v>
      </c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ht="12.75">
      <c r="A28" s="104" t="s">
        <v>51</v>
      </c>
      <c r="B28" s="80">
        <v>726952758</v>
      </c>
      <c r="C28" s="58">
        <v>603955487</v>
      </c>
      <c r="D28" s="89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104" t="s">
        <v>52</v>
      </c>
      <c r="B29" s="80">
        <v>23439986</v>
      </c>
      <c r="C29" s="58">
        <v>31131142</v>
      </c>
      <c r="D29" s="95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ht="12.75">
      <c r="A30" s="104" t="s">
        <v>53</v>
      </c>
      <c r="B30" s="80">
        <f>11767638+38830753</f>
        <v>50598391</v>
      </c>
      <c r="C30" s="58">
        <v>92981872</v>
      </c>
      <c r="D30" s="96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2.75">
      <c r="A31" s="104" t="s">
        <v>15</v>
      </c>
      <c r="B31" s="80">
        <f>4401543+486221</f>
        <v>4887764</v>
      </c>
      <c r="C31" s="58">
        <v>3793269</v>
      </c>
      <c r="D31" s="96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2.75">
      <c r="A32" s="112" t="s">
        <v>30</v>
      </c>
      <c r="B32" s="73">
        <f>SUM(B26:B31)</f>
        <v>819096818</v>
      </c>
      <c r="C32" s="73">
        <f>SUM(C26:C31)</f>
        <v>744806641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2.75">
      <c r="A33" s="114" t="s">
        <v>32</v>
      </c>
      <c r="B33" s="97"/>
      <c r="C33" s="6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2.75">
      <c r="A34" s="104" t="s">
        <v>24</v>
      </c>
      <c r="B34" s="80">
        <v>168170444</v>
      </c>
      <c r="C34" s="74">
        <v>168170444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2.75">
      <c r="A35" s="104" t="s">
        <v>16</v>
      </c>
      <c r="B35" s="80"/>
      <c r="C35" s="72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2.75">
      <c r="A36" s="115" t="s">
        <v>17</v>
      </c>
      <c r="B36" s="98">
        <v>168170444</v>
      </c>
      <c r="C36" s="68">
        <v>168170444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2.75">
      <c r="A37" s="104" t="s">
        <v>75</v>
      </c>
      <c r="B37" s="80">
        <v>1461271</v>
      </c>
      <c r="C37" s="72">
        <v>1461271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2.75">
      <c r="A38" s="104" t="s">
        <v>18</v>
      </c>
      <c r="B38" s="80">
        <v>-291974</v>
      </c>
      <c r="C38" s="72">
        <v>-291974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2.75">
      <c r="A39" s="104" t="s">
        <v>71</v>
      </c>
      <c r="B39" s="80">
        <v>15181181</v>
      </c>
      <c r="C39" s="72">
        <v>15181181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25.5">
      <c r="A40" s="109" t="s">
        <v>26</v>
      </c>
      <c r="B40" s="87">
        <v>-69880</v>
      </c>
      <c r="C40" s="72">
        <v>-64465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12.75">
      <c r="A41" s="104" t="s">
        <v>54</v>
      </c>
      <c r="B41" s="87">
        <v>593300</v>
      </c>
      <c r="C41" s="75">
        <v>-66397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2.75">
      <c r="A42" s="104" t="s">
        <v>43</v>
      </c>
      <c r="B42" s="80">
        <f>-1761850-108590404</f>
        <v>-110352254</v>
      </c>
      <c r="C42" s="72">
        <v>-110417735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25.5">
      <c r="A43" s="112" t="s">
        <v>27</v>
      </c>
      <c r="B43" s="69">
        <f>B34+B37+B38+B39+B40+B41+B42</f>
        <v>74692088</v>
      </c>
      <c r="C43" s="69">
        <f>C34+C37+C38+C39+C40+C41+C42</f>
        <v>73972325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9"/>
      <c r="Q43" s="99"/>
    </row>
    <row r="44" spans="1:17" ht="12.75">
      <c r="A44" s="104" t="s">
        <v>70</v>
      </c>
      <c r="B44" s="80">
        <v>212980</v>
      </c>
      <c r="C44" s="72">
        <v>213442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9"/>
      <c r="Q44" s="99"/>
    </row>
    <row r="45" spans="1:17" ht="12.75">
      <c r="A45" s="116" t="s">
        <v>28</v>
      </c>
      <c r="B45" s="70">
        <f>B43+B44</f>
        <v>74905068</v>
      </c>
      <c r="C45" s="70">
        <f>C43+C44</f>
        <v>74185767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9"/>
      <c r="Q45" s="99"/>
    </row>
    <row r="46" spans="1:17" ht="13.5" thickBot="1">
      <c r="A46" s="117" t="s">
        <v>29</v>
      </c>
      <c r="B46" s="71">
        <f>B32+B45</f>
        <v>894001886</v>
      </c>
      <c r="C46" s="71">
        <f>C32+C45</f>
        <v>818992408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9"/>
      <c r="Q46" s="99"/>
    </row>
    <row r="47" spans="1:32" ht="21.75" customHeight="1">
      <c r="A47" s="118"/>
      <c r="B47" s="55"/>
      <c r="C47" s="55"/>
      <c r="D47" s="1"/>
      <c r="E47" s="1"/>
      <c r="F47" s="1"/>
      <c r="G47" s="1"/>
      <c r="H47" s="1"/>
      <c r="I47" s="1"/>
      <c r="J47" s="1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"/>
      <c r="AA47" s="1"/>
      <c r="AB47" s="1"/>
      <c r="AC47" s="1"/>
      <c r="AD47" s="1"/>
      <c r="AE47" s="1"/>
      <c r="AF47" s="1"/>
    </row>
    <row r="48" spans="1:32" ht="27" customHeight="1">
      <c r="A48" s="119" t="s">
        <v>72</v>
      </c>
      <c r="B48" s="41"/>
      <c r="C48" s="122" t="s">
        <v>73</v>
      </c>
      <c r="D48" s="1"/>
      <c r="E48" s="1"/>
      <c r="F48" s="1"/>
      <c r="G48" s="1"/>
      <c r="H48" s="1"/>
      <c r="I48" s="1"/>
      <c r="J48" s="1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"/>
      <c r="AA48" s="1"/>
      <c r="AB48" s="1"/>
      <c r="AC48" s="1"/>
      <c r="AD48" s="1"/>
      <c r="AE48" s="1"/>
      <c r="AF48" s="1"/>
    </row>
    <row r="49" spans="1:3" ht="23.25" customHeight="1">
      <c r="A49" s="119" t="s">
        <v>22</v>
      </c>
      <c r="B49" s="41"/>
      <c r="C49" s="122" t="s">
        <v>23</v>
      </c>
    </row>
    <row r="50" spans="1:3" ht="12.75">
      <c r="A50" s="120"/>
      <c r="B50" s="56"/>
      <c r="C50" s="41"/>
    </row>
    <row r="51" ht="12.75">
      <c r="C51" s="56"/>
    </row>
  </sheetData>
  <sheetProtection/>
  <mergeCells count="5">
    <mergeCell ref="A8:C8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49">
      <selection activeCell="F59" sqref="F59"/>
    </sheetView>
  </sheetViews>
  <sheetFormatPr defaultColWidth="9.00390625" defaultRowHeight="12.75"/>
  <cols>
    <col min="1" max="1" width="45.125" style="27" customWidth="1"/>
    <col min="2" max="2" width="21.875" style="52" customWidth="1"/>
    <col min="3" max="3" width="21.00390625" style="52" customWidth="1"/>
    <col min="4" max="4" width="9.125" style="4" customWidth="1"/>
    <col min="5" max="5" width="0" style="4" hidden="1" customWidth="1"/>
    <col min="6" max="16384" width="9.125" style="4" customWidth="1"/>
  </cols>
  <sheetData>
    <row r="1" spans="1:3" ht="12.75">
      <c r="A1" s="24" t="s">
        <v>85</v>
      </c>
      <c r="B1" s="43"/>
      <c r="C1" s="43"/>
    </row>
    <row r="2" spans="1:3" ht="12.75">
      <c r="A2" s="25"/>
      <c r="B2" s="44"/>
      <c r="C2" s="44"/>
    </row>
    <row r="3" spans="1:3" ht="12.75">
      <c r="A3" s="2"/>
      <c r="B3" s="45"/>
      <c r="C3" s="20" t="s">
        <v>8</v>
      </c>
    </row>
    <row r="4" spans="1:3" ht="27.75" customHeight="1">
      <c r="A4" s="133" t="s">
        <v>41</v>
      </c>
      <c r="B4" s="133"/>
      <c r="C4" s="133"/>
    </row>
    <row r="5" spans="1:3" ht="12.75">
      <c r="A5" s="134" t="s">
        <v>0</v>
      </c>
      <c r="B5" s="134"/>
      <c r="C5" s="134"/>
    </row>
    <row r="6" spans="1:3" ht="12.75">
      <c r="A6" s="134" t="s">
        <v>21</v>
      </c>
      <c r="B6" s="134"/>
      <c r="C6" s="134"/>
    </row>
    <row r="7" spans="1:3" ht="12.75">
      <c r="A7" s="134" t="s">
        <v>91</v>
      </c>
      <c r="B7" s="134"/>
      <c r="C7" s="134"/>
    </row>
    <row r="8" spans="1:3" ht="12.75">
      <c r="A8" s="132" t="s">
        <v>1</v>
      </c>
      <c r="B8" s="132"/>
      <c r="C8" s="132"/>
    </row>
    <row r="9" spans="1:3" ht="13.5" thickBot="1">
      <c r="A9" s="26"/>
      <c r="B9" s="46"/>
      <c r="C9" s="46"/>
    </row>
    <row r="10" spans="1:3" ht="33" customHeight="1">
      <c r="A10" s="5" t="s">
        <v>2</v>
      </c>
      <c r="B10" s="76" t="s">
        <v>91</v>
      </c>
      <c r="C10" s="76" t="s">
        <v>92</v>
      </c>
    </row>
    <row r="11" spans="1:3" ht="12.75">
      <c r="A11" s="21"/>
      <c r="B11" s="42"/>
      <c r="C11" s="42"/>
    </row>
    <row r="12" spans="1:3" s="8" customFormat="1" ht="12.75">
      <c r="A12" s="6" t="s">
        <v>36</v>
      </c>
      <c r="B12" s="7">
        <f>SUM(B13:B15)</f>
        <v>12625842</v>
      </c>
      <c r="C12" s="7">
        <f>SUM(C13:C15)</f>
        <v>13498295</v>
      </c>
    </row>
    <row r="13" spans="1:3" ht="12.75">
      <c r="A13" s="9" t="s">
        <v>33</v>
      </c>
      <c r="B13" s="10">
        <v>12500805</v>
      </c>
      <c r="C13" s="10">
        <v>13385851</v>
      </c>
    </row>
    <row r="14" spans="1:3" ht="12.75">
      <c r="A14" s="9" t="s">
        <v>34</v>
      </c>
      <c r="B14" s="10">
        <v>57406</v>
      </c>
      <c r="C14" s="10">
        <v>46985</v>
      </c>
    </row>
    <row r="15" spans="1:3" ht="12.75">
      <c r="A15" s="9" t="s">
        <v>35</v>
      </c>
      <c r="B15" s="10">
        <v>67631</v>
      </c>
      <c r="C15" s="10">
        <v>65459</v>
      </c>
    </row>
    <row r="16" spans="1:3" s="8" customFormat="1" ht="12.75">
      <c r="A16" s="11" t="s">
        <v>3</v>
      </c>
      <c r="B16" s="12">
        <f>SUM(B17:B20)</f>
        <v>-10314292</v>
      </c>
      <c r="C16" s="12">
        <f>SUM(C17:C20)</f>
        <v>-10063976</v>
      </c>
    </row>
    <row r="17" spans="1:3" ht="12.75">
      <c r="A17" s="9" t="s">
        <v>37</v>
      </c>
      <c r="B17" s="10">
        <v>-7197828</v>
      </c>
      <c r="C17" s="10">
        <v>-5433126</v>
      </c>
    </row>
    <row r="18" spans="1:3" ht="12.75">
      <c r="A18" s="9" t="s">
        <v>38</v>
      </c>
      <c r="B18" s="10">
        <v>-1016576</v>
      </c>
      <c r="C18" s="10">
        <v>-996738</v>
      </c>
    </row>
    <row r="19" spans="1:3" ht="12.75">
      <c r="A19" s="9" t="s">
        <v>39</v>
      </c>
      <c r="B19" s="10">
        <v>-1450748</v>
      </c>
      <c r="C19" s="10">
        <v>-2425504</v>
      </c>
    </row>
    <row r="20" spans="1:3" ht="12.75">
      <c r="A20" s="9" t="s">
        <v>40</v>
      </c>
      <c r="B20" s="10">
        <v>-649140</v>
      </c>
      <c r="C20" s="10">
        <v>-1208608</v>
      </c>
    </row>
    <row r="21" spans="1:3" s="8" customFormat="1" ht="31.5" customHeight="1">
      <c r="A21" s="11" t="s">
        <v>4</v>
      </c>
      <c r="B21" s="12">
        <f>B12+B16</f>
        <v>2311550</v>
      </c>
      <c r="C21" s="12">
        <f>C12+C16</f>
        <v>3434319</v>
      </c>
    </row>
    <row r="22" spans="1:3" ht="12.75">
      <c r="A22" s="13" t="s">
        <v>19</v>
      </c>
      <c r="B22" s="14">
        <v>2888685</v>
      </c>
      <c r="C22" s="47">
        <v>2552123</v>
      </c>
    </row>
    <row r="23" spans="1:3" ht="12.75">
      <c r="A23" s="13" t="s">
        <v>20</v>
      </c>
      <c r="B23" s="14">
        <v>-1770908</v>
      </c>
      <c r="C23" s="47">
        <v>-3011870</v>
      </c>
    </row>
    <row r="24" spans="1:3" s="8" customFormat="1" ht="12.75">
      <c r="A24" s="11" t="s">
        <v>5</v>
      </c>
      <c r="B24" s="12">
        <f>SUM(B22:B23)</f>
        <v>1117777</v>
      </c>
      <c r="C24" s="12">
        <f>SUM(C22:C23)</f>
        <v>-459747</v>
      </c>
    </row>
    <row r="25" spans="1:3" ht="69.75" customHeight="1">
      <c r="A25" s="9" t="s">
        <v>93</v>
      </c>
      <c r="B25" s="10">
        <v>-570</v>
      </c>
      <c r="C25" s="10">
        <f>-9595+2978</f>
        <v>-6617</v>
      </c>
    </row>
    <row r="26" spans="1:3" ht="69.75" customHeight="1">
      <c r="A26" s="9" t="s">
        <v>79</v>
      </c>
      <c r="B26" s="10">
        <v>-2322880</v>
      </c>
      <c r="C26" s="10">
        <v>-21227</v>
      </c>
    </row>
    <row r="27" spans="1:3" ht="25.5">
      <c r="A27" s="9" t="s">
        <v>55</v>
      </c>
      <c r="B27" s="10">
        <f>1184140+150288</f>
        <v>1334428</v>
      </c>
      <c r="C27" s="10">
        <f>614317-17348</f>
        <v>596969</v>
      </c>
    </row>
    <row r="28" spans="1:3" ht="25.5">
      <c r="A28" s="9" t="s">
        <v>78</v>
      </c>
      <c r="B28" s="10">
        <v>-50631</v>
      </c>
      <c r="C28" s="10">
        <v>579</v>
      </c>
    </row>
    <row r="29" spans="1:3" ht="25.5">
      <c r="A29" s="126" t="s">
        <v>94</v>
      </c>
      <c r="B29" s="10">
        <v>1088254</v>
      </c>
      <c r="C29" s="10">
        <v>0</v>
      </c>
    </row>
    <row r="30" spans="1:3" ht="12.75">
      <c r="A30" s="23" t="s">
        <v>77</v>
      </c>
      <c r="B30" s="47">
        <v>69824</v>
      </c>
      <c r="C30" s="47">
        <f>69742+17</f>
        <v>69759</v>
      </c>
    </row>
    <row r="31" spans="1:3" s="8" customFormat="1" ht="36.75" customHeight="1">
      <c r="A31" s="11" t="s">
        <v>6</v>
      </c>
      <c r="B31" s="12">
        <f>SUM(B25:B30)</f>
        <v>118425</v>
      </c>
      <c r="C31" s="12">
        <f>SUM(C25:C30)</f>
        <v>639463</v>
      </c>
    </row>
    <row r="32" spans="1:3" s="8" customFormat="1" ht="36.75" customHeight="1">
      <c r="A32" s="11" t="s">
        <v>74</v>
      </c>
      <c r="B32" s="12">
        <f>B21+B24+B31</f>
        <v>3547752</v>
      </c>
      <c r="C32" s="12">
        <f>C21+C24+C31</f>
        <v>3614035</v>
      </c>
    </row>
    <row r="33" spans="1:3" s="8" customFormat="1" ht="25.5" customHeight="1">
      <c r="A33" s="9" t="s">
        <v>95</v>
      </c>
      <c r="B33" s="10">
        <f>1301090+303398-13093</f>
        <v>1591395</v>
      </c>
      <c r="C33" s="10">
        <f>53754+15891-784573</f>
        <v>-714928</v>
      </c>
    </row>
    <row r="34" spans="1:3" ht="21.75" customHeight="1">
      <c r="A34" s="9" t="s">
        <v>76</v>
      </c>
      <c r="B34" s="10">
        <f>-2243131</f>
        <v>-2243131</v>
      </c>
      <c r="C34" s="10">
        <f>-2123829</f>
        <v>-2123829</v>
      </c>
    </row>
    <row r="35" spans="1:3" ht="27" customHeight="1">
      <c r="A35" s="9" t="s">
        <v>44</v>
      </c>
      <c r="B35" s="10">
        <f>-489317-1955773-275977</f>
        <v>-2721067</v>
      </c>
      <c r="C35" s="10">
        <f>-521244-1373633-217126</f>
        <v>-2112003</v>
      </c>
    </row>
    <row r="36" spans="1:3" s="8" customFormat="1" ht="31.5" customHeight="1">
      <c r="A36" s="11" t="s">
        <v>7</v>
      </c>
      <c r="B36" s="12">
        <f>SUM(B33:B35)</f>
        <v>-3372803</v>
      </c>
      <c r="C36" s="12">
        <f>SUM(C33:C35)</f>
        <v>-4950760</v>
      </c>
    </row>
    <row r="37" spans="1:3" s="8" customFormat="1" ht="30.75" customHeight="1">
      <c r="A37" s="11" t="s">
        <v>80</v>
      </c>
      <c r="B37" s="12">
        <f>B21+B24+B31+B36</f>
        <v>174949</v>
      </c>
      <c r="C37" s="12">
        <f>C21+C24+C31+C36</f>
        <v>-1336725</v>
      </c>
    </row>
    <row r="38" spans="1:3" ht="12.75">
      <c r="A38" s="9" t="s">
        <v>25</v>
      </c>
      <c r="B38" s="10">
        <v>-88145</v>
      </c>
      <c r="C38" s="10">
        <v>-255242</v>
      </c>
    </row>
    <row r="39" spans="1:3" s="8" customFormat="1" ht="15.75" customHeight="1">
      <c r="A39" s="33" t="s">
        <v>81</v>
      </c>
      <c r="B39" s="34">
        <f>B37+B38</f>
        <v>86804</v>
      </c>
      <c r="C39" s="34">
        <f>C37+C38</f>
        <v>-1591967</v>
      </c>
    </row>
    <row r="40" spans="1:3" ht="27.75" customHeight="1">
      <c r="A40" s="30" t="s">
        <v>82</v>
      </c>
      <c r="B40" s="32"/>
      <c r="C40" s="32"/>
    </row>
    <row r="41" spans="1:3" ht="15.75" customHeight="1">
      <c r="A41" s="31" t="s">
        <v>56</v>
      </c>
      <c r="B41" s="15">
        <v>65481</v>
      </c>
      <c r="C41" s="15">
        <v>-1605465</v>
      </c>
    </row>
    <row r="42" spans="1:3" ht="17.25" customHeight="1">
      <c r="A42" s="31" t="s">
        <v>57</v>
      </c>
      <c r="B42" s="15">
        <v>21323</v>
      </c>
      <c r="C42" s="15">
        <v>13498</v>
      </c>
    </row>
    <row r="43" spans="1:3" ht="13.5" customHeight="1">
      <c r="A43" s="31"/>
      <c r="B43" s="32">
        <f>SUM(B41:B42)</f>
        <v>86804</v>
      </c>
      <c r="C43" s="32">
        <f>SUM(C41:C42)</f>
        <v>-1591967</v>
      </c>
    </row>
    <row r="44" spans="1:3" s="36" customFormat="1" ht="15.75" customHeight="1">
      <c r="A44" s="11"/>
      <c r="B44" s="48"/>
      <c r="C44" s="48"/>
    </row>
    <row r="45" spans="1:3" s="8" customFormat="1" ht="15.75" customHeight="1">
      <c r="A45" s="11" t="s">
        <v>96</v>
      </c>
      <c r="B45" s="48"/>
      <c r="C45" s="48"/>
    </row>
    <row r="46" spans="1:3" s="8" customFormat="1" ht="31.5" customHeight="1">
      <c r="A46" s="9" t="s">
        <v>42</v>
      </c>
      <c r="B46" s="10"/>
      <c r="C46" s="10"/>
    </row>
    <row r="47" spans="1:3" s="8" customFormat="1" ht="33" customHeight="1">
      <c r="A47" s="29" t="s">
        <v>58</v>
      </c>
      <c r="B47" s="49">
        <f>-5319</f>
        <v>-5319</v>
      </c>
      <c r="C47" s="49">
        <v>18816</v>
      </c>
    </row>
    <row r="48" spans="1:3" s="8" customFormat="1" ht="43.5" customHeight="1">
      <c r="A48" s="29" t="s">
        <v>59</v>
      </c>
      <c r="B48" s="49">
        <v>0</v>
      </c>
      <c r="C48" s="49">
        <v>0</v>
      </c>
    </row>
    <row r="49" spans="1:3" s="8" customFormat="1" ht="15.75" customHeight="1">
      <c r="A49" s="9" t="s">
        <v>60</v>
      </c>
      <c r="B49" s="10">
        <f>674155</f>
        <v>674155</v>
      </c>
      <c r="C49" s="10">
        <v>601</v>
      </c>
    </row>
    <row r="50" spans="1:3" s="8" customFormat="1" ht="15.75" customHeight="1">
      <c r="A50" s="11" t="s">
        <v>96</v>
      </c>
      <c r="B50" s="12">
        <f>SUM(B47:B49)</f>
        <v>668836</v>
      </c>
      <c r="C50" s="12">
        <f>SUM(C47:C49)</f>
        <v>19417</v>
      </c>
    </row>
    <row r="51" spans="1:3" ht="30.75" customHeight="1">
      <c r="A51" s="35" t="s">
        <v>83</v>
      </c>
      <c r="B51" s="34">
        <f>B39+B50</f>
        <v>755640</v>
      </c>
      <c r="C51" s="34">
        <f>C39+C50</f>
        <v>-1572550</v>
      </c>
    </row>
    <row r="53" spans="1:3" ht="32.25" customHeight="1">
      <c r="A53" s="30" t="s">
        <v>84</v>
      </c>
      <c r="B53" s="32"/>
      <c r="C53" s="32"/>
    </row>
    <row r="54" spans="1:3" ht="13.5" customHeight="1">
      <c r="A54" s="31" t="s">
        <v>61</v>
      </c>
      <c r="B54" s="15">
        <f>B41+(-5415)+659697</f>
        <v>719763</v>
      </c>
      <c r="C54" s="15">
        <f>C41+18626+928</f>
        <v>-1585911</v>
      </c>
    </row>
    <row r="55" spans="1:3" ht="26.25" customHeight="1">
      <c r="A55" s="31" t="s">
        <v>62</v>
      </c>
      <c r="B55" s="15">
        <f>B42+96+14458</f>
        <v>35877</v>
      </c>
      <c r="C55" s="15">
        <f>C42+190-327</f>
        <v>13361</v>
      </c>
    </row>
    <row r="56" spans="1:3" ht="13.5" customHeight="1">
      <c r="A56" s="31"/>
      <c r="B56" s="32">
        <f>SUM(B54:B55)</f>
        <v>755640</v>
      </c>
      <c r="C56" s="32">
        <f>SUM(C54:C55)</f>
        <v>-1572550</v>
      </c>
    </row>
    <row r="57" spans="1:3" ht="13.5" customHeight="1">
      <c r="A57" s="22"/>
      <c r="B57" s="38"/>
      <c r="C57" s="38"/>
    </row>
    <row r="58" spans="1:3" ht="13.5" customHeight="1">
      <c r="A58" s="37" t="s">
        <v>65</v>
      </c>
      <c r="B58" s="50"/>
      <c r="C58" s="50"/>
    </row>
    <row r="59" spans="1:3" ht="30.75" customHeight="1">
      <c r="A59" s="22" t="s">
        <v>66</v>
      </c>
      <c r="B59" s="127">
        <v>1.447</v>
      </c>
      <c r="C59" s="127">
        <v>-35.46772741057809</v>
      </c>
    </row>
    <row r="60" spans="1:3" ht="13.5" customHeight="1">
      <c r="A60" s="22"/>
      <c r="B60" s="38"/>
      <c r="C60" s="38"/>
    </row>
    <row r="61" spans="1:26" ht="25.5" customHeight="1">
      <c r="A61" s="40" t="s">
        <v>72</v>
      </c>
      <c r="B61" s="55"/>
      <c r="C61" s="41" t="s">
        <v>73</v>
      </c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6"/>
      <c r="S61" s="16"/>
      <c r="T61" s="16"/>
      <c r="U61" s="16"/>
      <c r="V61" s="16"/>
      <c r="W61" s="16"/>
      <c r="X61" s="16"/>
      <c r="Y61" s="16"/>
      <c r="Z61" s="17"/>
    </row>
    <row r="62" spans="1:26" ht="24.75" customHeight="1">
      <c r="A62" s="40" t="s">
        <v>22</v>
      </c>
      <c r="B62" s="41"/>
      <c r="C62" s="41" t="s">
        <v>23</v>
      </c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6"/>
      <c r="S62" s="16"/>
      <c r="T62" s="16"/>
      <c r="U62" s="16"/>
      <c r="V62" s="16"/>
      <c r="W62" s="16"/>
      <c r="X62" s="16"/>
      <c r="Y62" s="16"/>
      <c r="Z62" s="17"/>
    </row>
    <row r="63" spans="1:26" ht="12.75">
      <c r="A63" s="28"/>
      <c r="B63" s="51"/>
      <c r="C63" s="51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6"/>
      <c r="S63" s="16"/>
      <c r="T63" s="16"/>
      <c r="U63" s="16"/>
      <c r="V63" s="16"/>
      <c r="W63" s="16"/>
      <c r="X63" s="16"/>
      <c r="Y63" s="16"/>
      <c r="Z63" s="17"/>
    </row>
    <row r="64" spans="1:3" ht="12.75">
      <c r="A64" s="28"/>
      <c r="B64" s="51"/>
      <c r="C64" s="51"/>
    </row>
  </sheetData>
  <sheetProtection/>
  <mergeCells count="5">
    <mergeCell ref="A8:C8"/>
    <mergeCell ref="A4:C4"/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PageLayoutView="0" workbookViewId="0" topLeftCell="A55">
      <selection activeCell="B64" sqref="B64"/>
    </sheetView>
  </sheetViews>
  <sheetFormatPr defaultColWidth="9.00390625" defaultRowHeight="12.75"/>
  <cols>
    <col min="1" max="1" width="48.00390625" style="135" customWidth="1"/>
    <col min="2" max="2" width="23.125" style="136" customWidth="1"/>
    <col min="3" max="3" width="20.375" style="43" customWidth="1"/>
    <col min="4" max="16384" width="9.125" style="136" customWidth="1"/>
  </cols>
  <sheetData>
    <row r="1" ht="12.75">
      <c r="A1" s="135" t="s">
        <v>98</v>
      </c>
    </row>
    <row r="3" spans="1:3" ht="12.75">
      <c r="A3" s="137"/>
      <c r="B3" s="138"/>
      <c r="C3" s="20" t="s">
        <v>99</v>
      </c>
    </row>
    <row r="4" spans="1:3" ht="12.75">
      <c r="A4" s="137"/>
      <c r="B4" s="138"/>
      <c r="C4" s="139"/>
    </row>
    <row r="5" spans="1:3" ht="12.75">
      <c r="A5" s="137"/>
      <c r="B5" s="138"/>
      <c r="C5" s="139"/>
    </row>
    <row r="6" spans="1:3" ht="12.75">
      <c r="A6" s="140" t="s">
        <v>100</v>
      </c>
      <c r="B6" s="140"/>
      <c r="C6" s="140"/>
    </row>
    <row r="7" spans="1:3" ht="12.75">
      <c r="A7" s="141" t="s">
        <v>0</v>
      </c>
      <c r="B7" s="141"/>
      <c r="C7" s="141"/>
    </row>
    <row r="8" spans="1:3" ht="12.75">
      <c r="A8" s="142" t="s">
        <v>10</v>
      </c>
      <c r="B8" s="142"/>
      <c r="C8" s="142"/>
    </row>
    <row r="9" spans="1:3" ht="12.75">
      <c r="A9" s="134" t="s">
        <v>101</v>
      </c>
      <c r="B9" s="134"/>
      <c r="C9" s="134"/>
    </row>
    <row r="10" spans="1:3" ht="12.75">
      <c r="A10" s="132" t="s">
        <v>1</v>
      </c>
      <c r="B10" s="132"/>
      <c r="C10" s="132"/>
    </row>
    <row r="11" spans="1:3" ht="13.5" thickBot="1">
      <c r="A11" s="143"/>
      <c r="B11" s="144"/>
      <c r="C11" s="145"/>
    </row>
    <row r="12" spans="1:3" ht="26.25" thickBot="1">
      <c r="A12" s="146" t="s">
        <v>2</v>
      </c>
      <c r="B12" s="147" t="s">
        <v>102</v>
      </c>
      <c r="C12" s="147" t="s">
        <v>103</v>
      </c>
    </row>
    <row r="13" spans="1:3" ht="13.5" thickBot="1">
      <c r="A13" s="148">
        <v>1</v>
      </c>
      <c r="B13" s="149">
        <v>2</v>
      </c>
      <c r="C13" s="150">
        <v>3</v>
      </c>
    </row>
    <row r="14" spans="1:3" ht="12.75">
      <c r="A14" s="151"/>
      <c r="B14" s="152"/>
      <c r="C14" s="153"/>
    </row>
    <row r="15" spans="1:3" ht="12.75">
      <c r="A15" s="154" t="s">
        <v>104</v>
      </c>
      <c r="B15" s="155">
        <v>2495684</v>
      </c>
      <c r="C15" s="155">
        <v>12286891</v>
      </c>
    </row>
    <row r="16" spans="1:3" ht="12.75">
      <c r="A16" s="154" t="s">
        <v>105</v>
      </c>
      <c r="B16" s="155">
        <v>-9361138</v>
      </c>
      <c r="C16" s="155">
        <v>-6823495</v>
      </c>
    </row>
    <row r="17" spans="1:3" ht="51">
      <c r="A17" s="154" t="s">
        <v>106</v>
      </c>
      <c r="B17" s="155">
        <v>7696632</v>
      </c>
      <c r="C17" s="155">
        <v>29567</v>
      </c>
    </row>
    <row r="18" spans="1:3" ht="25.5">
      <c r="A18" s="154" t="s">
        <v>107</v>
      </c>
      <c r="B18" s="155">
        <v>1334428</v>
      </c>
      <c r="C18" s="155">
        <v>597548</v>
      </c>
    </row>
    <row r="19" spans="1:3" ht="12.75">
      <c r="A19" s="154" t="s">
        <v>108</v>
      </c>
      <c r="B19" s="155">
        <v>2662791</v>
      </c>
      <c r="C19" s="155">
        <v>2528003</v>
      </c>
    </row>
    <row r="20" spans="1:3" ht="12.75">
      <c r="A20" s="154" t="s">
        <v>109</v>
      </c>
      <c r="B20" s="155">
        <v>-1516097</v>
      </c>
      <c r="C20" s="155">
        <v>-3077128</v>
      </c>
    </row>
    <row r="21" spans="1:3" ht="12.75">
      <c r="A21" s="154" t="s">
        <v>110</v>
      </c>
      <c r="B21" s="155">
        <v>1158079</v>
      </c>
      <c r="C21" s="155">
        <v>69759</v>
      </c>
    </row>
    <row r="22" spans="1:3" ht="12.75">
      <c r="A22" s="154" t="s">
        <v>76</v>
      </c>
      <c r="B22" s="155">
        <v>-2227297</v>
      </c>
      <c r="C22" s="155">
        <v>-2359902</v>
      </c>
    </row>
    <row r="23" spans="1:3" ht="12.75">
      <c r="A23" s="154" t="s">
        <v>111</v>
      </c>
      <c r="B23" s="155">
        <v>-3274698</v>
      </c>
      <c r="C23" s="155">
        <v>-1240687</v>
      </c>
    </row>
    <row r="24" spans="1:3" ht="25.5">
      <c r="A24" s="156" t="s">
        <v>112</v>
      </c>
      <c r="B24" s="157">
        <f>SUM(B15:B23)</f>
        <v>-1031616</v>
      </c>
      <c r="C24" s="157">
        <f>SUM(C15:C23)</f>
        <v>2010556</v>
      </c>
    </row>
    <row r="25" spans="1:3" ht="13.5">
      <c r="A25" s="158" t="s">
        <v>113</v>
      </c>
      <c r="B25" s="159">
        <f>SUM(B26:B29)</f>
        <v>-50170773</v>
      </c>
      <c r="C25" s="159">
        <f>SUM(C26:C29)</f>
        <v>5643032</v>
      </c>
    </row>
    <row r="26" spans="1:3" ht="12.75">
      <c r="A26" s="160" t="s">
        <v>46</v>
      </c>
      <c r="B26" s="155">
        <v>-2461099</v>
      </c>
      <c r="C26" s="155">
        <v>-929333</v>
      </c>
    </row>
    <row r="27" spans="1:3" ht="51">
      <c r="A27" s="160" t="s">
        <v>114</v>
      </c>
      <c r="B27" s="155">
        <v>16529</v>
      </c>
      <c r="C27" s="155">
        <v>2174</v>
      </c>
    </row>
    <row r="28" spans="1:3" ht="12.75">
      <c r="A28" s="160" t="s">
        <v>47</v>
      </c>
      <c r="B28" s="155">
        <v>-47444372</v>
      </c>
      <c r="C28" s="155">
        <v>6204053</v>
      </c>
    </row>
    <row r="29" spans="1:3" ht="12.75">
      <c r="A29" s="160" t="s">
        <v>13</v>
      </c>
      <c r="B29" s="155">
        <f>19998-301829</f>
        <v>-281831</v>
      </c>
      <c r="C29" s="155">
        <f>181021+185117</f>
        <v>366138</v>
      </c>
    </row>
    <row r="30" spans="1:3" ht="13.5">
      <c r="A30" s="161" t="s">
        <v>115</v>
      </c>
      <c r="B30" s="159">
        <f>SUM(B31:B34)</f>
        <v>67908929</v>
      </c>
      <c r="C30" s="159">
        <f>SUM(C31:C34)</f>
        <v>55599733</v>
      </c>
    </row>
    <row r="31" spans="1:3" ht="12.75">
      <c r="A31" s="160" t="s">
        <v>116</v>
      </c>
      <c r="B31" s="155">
        <v>-2968372</v>
      </c>
      <c r="C31" s="155">
        <v>12810924</v>
      </c>
    </row>
    <row r="32" spans="1:3" ht="12.75">
      <c r="A32" s="160" t="s">
        <v>117</v>
      </c>
      <c r="B32" s="155">
        <v>69811921</v>
      </c>
      <c r="C32" s="155">
        <v>42857049</v>
      </c>
    </row>
    <row r="33" spans="1:3" ht="51">
      <c r="A33" s="160" t="s">
        <v>118</v>
      </c>
      <c r="B33" s="155">
        <v>31357</v>
      </c>
      <c r="C33" s="155">
        <v>-114770</v>
      </c>
    </row>
    <row r="34" spans="1:3" ht="12.75">
      <c r="A34" s="160" t="s">
        <v>119</v>
      </c>
      <c r="B34" s="155">
        <v>1034023</v>
      </c>
      <c r="C34" s="155">
        <v>46530</v>
      </c>
    </row>
    <row r="35" spans="1:3" ht="45" customHeight="1">
      <c r="A35" s="162" t="s">
        <v>120</v>
      </c>
      <c r="B35" s="157">
        <f>B25+B30+B24</f>
        <v>16706540</v>
      </c>
      <c r="C35" s="157">
        <f>C25+C30+C24</f>
        <v>63253321</v>
      </c>
    </row>
    <row r="36" spans="1:3" ht="12.75">
      <c r="A36" s="154"/>
      <c r="B36" s="155"/>
      <c r="C36" s="155"/>
    </row>
    <row r="37" spans="1:3" ht="12.75">
      <c r="A37" s="163" t="s">
        <v>121</v>
      </c>
      <c r="B37" s="164">
        <v>-47237</v>
      </c>
      <c r="C37" s="155">
        <v>-74288</v>
      </c>
    </row>
    <row r="38" spans="1:3" ht="12.75">
      <c r="A38" s="154"/>
      <c r="B38" s="155"/>
      <c r="C38" s="155"/>
    </row>
    <row r="39" spans="1:3" ht="25.5">
      <c r="A39" s="162" t="s">
        <v>122</v>
      </c>
      <c r="B39" s="157">
        <f>B35+B37</f>
        <v>16659303</v>
      </c>
      <c r="C39" s="157">
        <f>C35+C37</f>
        <v>63179033</v>
      </c>
    </row>
    <row r="40" spans="1:3" ht="12.75">
      <c r="A40" s="154"/>
      <c r="B40" s="155"/>
      <c r="C40" s="155"/>
    </row>
    <row r="41" spans="1:3" ht="25.5">
      <c r="A41" s="162" t="s">
        <v>123</v>
      </c>
      <c r="B41" s="165"/>
      <c r="C41" s="155"/>
    </row>
    <row r="42" spans="1:3" ht="25.5">
      <c r="A42" s="163" t="s">
        <v>124</v>
      </c>
      <c r="B42" s="164">
        <v>-18236619</v>
      </c>
      <c r="C42" s="155">
        <v>-8801373</v>
      </c>
    </row>
    <row r="43" spans="1:3" ht="25.5">
      <c r="A43" s="166" t="s">
        <v>125</v>
      </c>
      <c r="B43" s="164">
        <v>20347279</v>
      </c>
      <c r="C43" s="155">
        <v>17628377</v>
      </c>
    </row>
    <row r="44" spans="1:3" ht="25.5">
      <c r="A44" s="166" t="s">
        <v>126</v>
      </c>
      <c r="B44" s="164">
        <v>-326347</v>
      </c>
      <c r="C44" s="155">
        <v>-116935</v>
      </c>
    </row>
    <row r="45" spans="1:3" ht="25.5">
      <c r="A45" s="166" t="s">
        <v>127</v>
      </c>
      <c r="B45" s="164">
        <v>34873</v>
      </c>
      <c r="C45" s="155">
        <v>189</v>
      </c>
    </row>
    <row r="46" spans="1:3" ht="25.5">
      <c r="A46" s="162" t="s">
        <v>128</v>
      </c>
      <c r="B46" s="157">
        <f>SUM(B42:B45)</f>
        <v>1819186</v>
      </c>
      <c r="C46" s="157">
        <f>SUM(C42:C45)</f>
        <v>8710258</v>
      </c>
    </row>
    <row r="47" spans="1:3" ht="12.75">
      <c r="A47" s="154"/>
      <c r="B47" s="155"/>
      <c r="C47" s="155"/>
    </row>
    <row r="48" spans="1:3" ht="25.5">
      <c r="A48" s="162" t="s">
        <v>129</v>
      </c>
      <c r="B48" s="165"/>
      <c r="C48" s="155"/>
    </row>
    <row r="49" spans="1:3" ht="12.75">
      <c r="A49" s="166" t="s">
        <v>130</v>
      </c>
      <c r="B49" s="164">
        <v>-54845314</v>
      </c>
      <c r="C49" s="155">
        <v>0</v>
      </c>
    </row>
    <row r="50" spans="1:3" ht="12.75">
      <c r="A50" s="166" t="s">
        <v>131</v>
      </c>
      <c r="B50" s="164">
        <v>-10819280</v>
      </c>
      <c r="C50" s="155">
        <v>0</v>
      </c>
    </row>
    <row r="51" spans="1:3" ht="12.75">
      <c r="A51" s="163" t="s">
        <v>132</v>
      </c>
      <c r="B51" s="164">
        <v>-804</v>
      </c>
      <c r="C51" s="155">
        <v>0</v>
      </c>
    </row>
    <row r="52" spans="1:3" ht="12.75">
      <c r="A52" s="166" t="s">
        <v>133</v>
      </c>
      <c r="B52" s="164">
        <v>131131</v>
      </c>
      <c r="C52" s="155">
        <v>540444</v>
      </c>
    </row>
    <row r="53" spans="1:3" ht="25.5">
      <c r="A53" s="166" t="s">
        <v>134</v>
      </c>
      <c r="B53" s="164">
        <v>-1979538</v>
      </c>
      <c r="C53" s="155">
        <v>-42140530</v>
      </c>
    </row>
    <row r="54" spans="1:3" ht="25.5">
      <c r="A54" s="162" t="s">
        <v>135</v>
      </c>
      <c r="B54" s="157">
        <f>SUM(B49:B53)</f>
        <v>-67513805</v>
      </c>
      <c r="C54" s="157">
        <f>SUM(C49:C53)</f>
        <v>-41600086</v>
      </c>
    </row>
    <row r="55" spans="1:3" ht="12.75">
      <c r="A55" s="167"/>
      <c r="B55" s="157"/>
      <c r="C55" s="157"/>
    </row>
    <row r="56" spans="1:3" ht="25.5">
      <c r="A56" s="162" t="s">
        <v>136</v>
      </c>
      <c r="B56" s="157">
        <f>B54+B46+B39</f>
        <v>-49035316</v>
      </c>
      <c r="C56" s="157">
        <f>C54+C46+C39</f>
        <v>30289205</v>
      </c>
    </row>
    <row r="57" spans="1:3" ht="12.75">
      <c r="A57" s="160"/>
      <c r="B57" s="155"/>
      <c r="C57" s="168"/>
    </row>
    <row r="58" spans="1:3" ht="25.5">
      <c r="A58" s="169" t="s">
        <v>137</v>
      </c>
      <c r="B58" s="170">
        <v>25603846</v>
      </c>
      <c r="C58" s="155">
        <v>-84126</v>
      </c>
    </row>
    <row r="59" spans="1:3" ht="12.75">
      <c r="A59" s="160"/>
      <c r="B59" s="155"/>
      <c r="C59" s="157"/>
    </row>
    <row r="60" spans="1:3" ht="12.75">
      <c r="A60" s="162" t="s">
        <v>138</v>
      </c>
      <c r="B60" s="157">
        <f>B56+B58</f>
        <v>-23431470</v>
      </c>
      <c r="C60" s="157">
        <f>C56+C58</f>
        <v>30205079</v>
      </c>
    </row>
    <row r="61" spans="1:3" ht="12.75">
      <c r="A61" s="166"/>
      <c r="B61" s="164"/>
      <c r="C61" s="168"/>
    </row>
    <row r="62" spans="1:3" ht="12.75">
      <c r="A62" s="171" t="s">
        <v>139</v>
      </c>
      <c r="B62" s="168">
        <v>199981647</v>
      </c>
      <c r="C62" s="168">
        <v>132577835</v>
      </c>
    </row>
    <row r="63" spans="1:3" ht="12.75">
      <c r="A63" s="171" t="s">
        <v>140</v>
      </c>
      <c r="B63" s="168">
        <v>176550177</v>
      </c>
      <c r="C63" s="168">
        <v>162782914</v>
      </c>
    </row>
    <row r="64" spans="2:3" ht="12.75">
      <c r="B64" s="43"/>
      <c r="C64" s="172"/>
    </row>
    <row r="65" ht="12.75">
      <c r="C65" s="173"/>
    </row>
    <row r="66" spans="1:3" ht="18" customHeight="1">
      <c r="A66" s="119" t="s">
        <v>72</v>
      </c>
      <c r="B66" s="174"/>
      <c r="C66" s="41" t="s">
        <v>73</v>
      </c>
    </row>
    <row r="67" spans="1:3" ht="27" customHeight="1">
      <c r="A67" s="119" t="s">
        <v>22</v>
      </c>
      <c r="B67" s="174"/>
      <c r="C67" s="41" t="s">
        <v>23</v>
      </c>
    </row>
    <row r="68" spans="1:3" ht="12.75">
      <c r="A68" s="175"/>
      <c r="B68" s="176"/>
      <c r="C68" s="177"/>
    </row>
    <row r="69" spans="1:3" ht="12.75">
      <c r="A69" s="119"/>
      <c r="B69" s="174"/>
      <c r="C69" s="178"/>
    </row>
    <row r="70" spans="1:2" ht="12.75">
      <c r="A70" s="179"/>
      <c r="B70" s="180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5" right="0.75" top="1" bottom="1" header="0.5" footer="0.5"/>
  <pageSetup fitToHeight="2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D10">
      <selection activeCell="I22" sqref="I22"/>
    </sheetView>
  </sheetViews>
  <sheetFormatPr defaultColWidth="9.00390625" defaultRowHeight="12.75"/>
  <cols>
    <col min="1" max="1" width="33.00390625" style="181" customWidth="1"/>
    <col min="2" max="2" width="13.00390625" style="182" customWidth="1"/>
    <col min="3" max="3" width="14.25390625" style="182" customWidth="1"/>
    <col min="4" max="4" width="11.75390625" style="182" customWidth="1"/>
    <col min="5" max="5" width="13.125" style="182" customWidth="1"/>
    <col min="6" max="6" width="14.125" style="182" customWidth="1"/>
    <col min="7" max="7" width="17.00390625" style="182" customWidth="1"/>
    <col min="8" max="8" width="14.00390625" style="182" customWidth="1"/>
    <col min="9" max="9" width="17.125" style="182" customWidth="1"/>
    <col min="10" max="10" width="14.875" style="182" customWidth="1"/>
    <col min="11" max="11" width="8.75390625" style="183" bestFit="1" customWidth="1"/>
    <col min="12" max="16384" width="9.125" style="183" customWidth="1"/>
  </cols>
  <sheetData>
    <row r="1" ht="12.75">
      <c r="A1" s="181" t="s">
        <v>85</v>
      </c>
    </row>
    <row r="3" spans="1:10" ht="12.75">
      <c r="A3" s="184" t="s">
        <v>141</v>
      </c>
      <c r="B3" s="185"/>
      <c r="C3" s="185"/>
      <c r="D3" s="185"/>
      <c r="E3" s="185"/>
      <c r="F3" s="185"/>
      <c r="G3" s="185"/>
      <c r="H3" s="185"/>
      <c r="I3" s="185"/>
      <c r="J3" s="185" t="s">
        <v>142</v>
      </c>
    </row>
    <row r="4" spans="1:9" ht="12.75">
      <c r="A4" s="186" t="s">
        <v>10</v>
      </c>
      <c r="B4" s="185"/>
      <c r="C4" s="185"/>
      <c r="D4" s="185"/>
      <c r="E4" s="185"/>
      <c r="F4" s="185"/>
      <c r="G4" s="185"/>
      <c r="H4" s="185"/>
      <c r="I4" s="185"/>
    </row>
    <row r="5" spans="1:10" s="188" customFormat="1" ht="12.75">
      <c r="A5" s="187" t="s">
        <v>143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.75">
      <c r="A6" s="189" t="s">
        <v>144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.75">
      <c r="A7" s="190"/>
      <c r="B7" s="190"/>
      <c r="C7" s="190"/>
      <c r="D7" s="190"/>
      <c r="E7" s="190"/>
      <c r="F7" s="190"/>
      <c r="G7" s="190"/>
      <c r="H7" s="190"/>
      <c r="I7" s="190"/>
      <c r="J7" s="190" t="s">
        <v>145</v>
      </c>
    </row>
    <row r="8" spans="1:10" ht="29.25" customHeight="1">
      <c r="A8" s="191"/>
      <c r="B8" s="192" t="s">
        <v>24</v>
      </c>
      <c r="C8" s="193" t="s">
        <v>75</v>
      </c>
      <c r="D8" s="194" t="s">
        <v>71</v>
      </c>
      <c r="E8" s="194" t="s">
        <v>43</v>
      </c>
      <c r="F8" s="194" t="s">
        <v>146</v>
      </c>
      <c r="G8" s="194" t="s">
        <v>147</v>
      </c>
      <c r="H8" s="194" t="s">
        <v>148</v>
      </c>
      <c r="I8" s="194" t="s">
        <v>70</v>
      </c>
      <c r="J8" s="194" t="s">
        <v>149</v>
      </c>
    </row>
    <row r="9" spans="1:10" s="188" customFormat="1" ht="102" customHeight="1">
      <c r="A9" s="191"/>
      <c r="B9" s="195" t="s">
        <v>150</v>
      </c>
      <c r="C9" s="196"/>
      <c r="D9" s="196"/>
      <c r="E9" s="196"/>
      <c r="F9" s="196"/>
      <c r="G9" s="196"/>
      <c r="H9" s="196"/>
      <c r="I9" s="196"/>
      <c r="J9" s="197"/>
    </row>
    <row r="10" spans="1:10" s="188" customFormat="1" ht="12.75">
      <c r="A10" s="198" t="s">
        <v>151</v>
      </c>
      <c r="B10" s="199">
        <f>167878470</f>
        <v>167878470</v>
      </c>
      <c r="C10" s="199">
        <f>1461271</f>
        <v>1461271</v>
      </c>
      <c r="D10" s="199">
        <v>15181181</v>
      </c>
      <c r="E10" s="199">
        <f>-110405106</f>
        <v>-110405106</v>
      </c>
      <c r="F10" s="199">
        <f>-96684</f>
        <v>-96684</v>
      </c>
      <c r="G10" s="199">
        <f>-1785</f>
        <v>-1785</v>
      </c>
      <c r="H10" s="199">
        <f>B10+C10+D10+E10+F10+G10</f>
        <v>74017347</v>
      </c>
      <c r="I10" s="199">
        <f>181773</f>
        <v>181773</v>
      </c>
      <c r="J10" s="199">
        <f>H10+I10</f>
        <v>74199120</v>
      </c>
    </row>
    <row r="11" spans="1:10" s="203" customFormat="1" ht="12.75">
      <c r="A11" s="200" t="s">
        <v>152</v>
      </c>
      <c r="B11" s="201"/>
      <c r="C11" s="201"/>
      <c r="D11" s="201"/>
      <c r="E11" s="201">
        <f>-1605466</f>
        <v>-1605466</v>
      </c>
      <c r="F11" s="201"/>
      <c r="G11" s="201"/>
      <c r="H11" s="199">
        <f aca="true" t="shared" si="0" ref="H11:H16">B11+C11+D11+E11+F11+G11</f>
        <v>-1605466</v>
      </c>
      <c r="I11" s="201">
        <f>13498</f>
        <v>13498</v>
      </c>
      <c r="J11" s="202">
        <f>H11+I11</f>
        <v>-1591968</v>
      </c>
    </row>
    <row r="12" spans="1:10" s="188" customFormat="1" ht="12.75">
      <c r="A12" s="198" t="s">
        <v>153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39.75" customHeight="1">
      <c r="A13" s="200" t="s">
        <v>154</v>
      </c>
      <c r="B13" s="204"/>
      <c r="C13" s="204"/>
      <c r="D13" s="204"/>
      <c r="E13" s="204"/>
      <c r="F13" s="204">
        <f>-78058-F10</f>
        <v>18626</v>
      </c>
      <c r="G13" s="204"/>
      <c r="H13" s="199">
        <f t="shared" si="0"/>
        <v>18626</v>
      </c>
      <c r="I13" s="201">
        <f>6636*2.857%</f>
        <v>189.59052</v>
      </c>
      <c r="J13" s="202">
        <f>H13+I13</f>
        <v>18815.59052</v>
      </c>
    </row>
    <row r="14" spans="1:10" ht="12.75">
      <c r="A14" s="200" t="s">
        <v>155</v>
      </c>
      <c r="B14" s="204"/>
      <c r="C14" s="204"/>
      <c r="D14" s="204"/>
      <c r="E14" s="204"/>
      <c r="F14" s="204"/>
      <c r="G14" s="204">
        <f>-857-G10</f>
        <v>928</v>
      </c>
      <c r="H14" s="199">
        <f t="shared" si="0"/>
        <v>928</v>
      </c>
      <c r="I14" s="201">
        <f>-(194635*2.857%)+5234</f>
        <v>-326.7219500000001</v>
      </c>
      <c r="J14" s="202">
        <f>H14+I14</f>
        <v>601.2780499999999</v>
      </c>
    </row>
    <row r="15" spans="1:10" s="188" customFormat="1" ht="26.25" customHeight="1">
      <c r="A15" s="205" t="s">
        <v>156</v>
      </c>
      <c r="B15" s="202">
        <f aca="true" t="shared" si="1" ref="B15:G15">SUM(B11:B14)</f>
        <v>0</v>
      </c>
      <c r="C15" s="202">
        <f t="shared" si="1"/>
        <v>0</v>
      </c>
      <c r="D15" s="202">
        <f t="shared" si="1"/>
        <v>0</v>
      </c>
      <c r="E15" s="202">
        <f t="shared" si="1"/>
        <v>-1605466</v>
      </c>
      <c r="F15" s="202">
        <f t="shared" si="1"/>
        <v>18626</v>
      </c>
      <c r="G15" s="202">
        <f t="shared" si="1"/>
        <v>928</v>
      </c>
      <c r="H15" s="199">
        <f t="shared" si="0"/>
        <v>-1585912</v>
      </c>
      <c r="I15" s="202">
        <f>SUM(I11:I14)</f>
        <v>13360.868569999999</v>
      </c>
      <c r="J15" s="202">
        <f>H15+I15</f>
        <v>-1572551.13143</v>
      </c>
    </row>
    <row r="16" spans="1:11" s="203" customFormat="1" ht="25.5">
      <c r="A16" s="206" t="s">
        <v>157</v>
      </c>
      <c r="B16" s="201"/>
      <c r="C16" s="201"/>
      <c r="D16" s="201"/>
      <c r="E16" s="201"/>
      <c r="F16" s="201"/>
      <c r="G16" s="201"/>
      <c r="H16" s="199">
        <f t="shared" si="0"/>
        <v>0</v>
      </c>
      <c r="I16" s="201">
        <f>-(1172772*2.857%)</f>
        <v>-33506.096040000004</v>
      </c>
      <c r="J16" s="202">
        <f>H16+I16</f>
        <v>-33506.096040000004</v>
      </c>
      <c r="K16" s="207"/>
    </row>
    <row r="17" spans="1:10" s="188" customFormat="1" ht="13.5" thickBot="1">
      <c r="A17" s="208" t="s">
        <v>158</v>
      </c>
      <c r="B17" s="209">
        <f>B15+B10</f>
        <v>167878470</v>
      </c>
      <c r="C17" s="209">
        <f aca="true" t="shared" si="2" ref="C17:H17">C15+C10</f>
        <v>1461271</v>
      </c>
      <c r="D17" s="209">
        <f t="shared" si="2"/>
        <v>15181181</v>
      </c>
      <c r="E17" s="209">
        <f t="shared" si="2"/>
        <v>-112010572</v>
      </c>
      <c r="F17" s="209">
        <f t="shared" si="2"/>
        <v>-78058</v>
      </c>
      <c r="G17" s="209">
        <f t="shared" si="2"/>
        <v>-857</v>
      </c>
      <c r="H17" s="209">
        <f t="shared" si="2"/>
        <v>72431435</v>
      </c>
      <c r="I17" s="209">
        <f>I15+I10+I16</f>
        <v>161627.77253</v>
      </c>
      <c r="J17" s="209">
        <f>J15+J10+J16</f>
        <v>72593062.77253</v>
      </c>
    </row>
    <row r="18" spans="1:10" s="188" customFormat="1" ht="12.75">
      <c r="A18" s="210"/>
      <c r="B18" s="211"/>
      <c r="C18" s="211"/>
      <c r="D18" s="211"/>
      <c r="E18" s="212"/>
      <c r="F18" s="212"/>
      <c r="G18" s="212"/>
      <c r="H18" s="211"/>
      <c r="I18" s="212"/>
      <c r="J18" s="211"/>
    </row>
    <row r="19" spans="1:10" s="188" customFormat="1" ht="12.75">
      <c r="A19" s="210"/>
      <c r="B19" s="211"/>
      <c r="C19" s="211"/>
      <c r="D19" s="211"/>
      <c r="E19" s="211"/>
      <c r="F19" s="211"/>
      <c r="G19" s="211"/>
      <c r="H19" s="211"/>
      <c r="I19" s="212"/>
      <c r="J19" s="211"/>
    </row>
    <row r="20" spans="1:10" s="188" customFormat="1" ht="12.75">
      <c r="A20" s="213"/>
      <c r="B20" s="214"/>
      <c r="C20" s="214"/>
      <c r="D20" s="214"/>
      <c r="E20" s="214"/>
      <c r="F20" s="214"/>
      <c r="G20" s="214"/>
      <c r="H20" s="215"/>
      <c r="I20" s="214"/>
      <c r="J20" s="214"/>
    </row>
    <row r="21" spans="1:10" ht="12.75">
      <c r="A21" s="40" t="s">
        <v>72</v>
      </c>
      <c r="B21" s="214"/>
      <c r="C21" s="214"/>
      <c r="D21" s="214"/>
      <c r="E21" s="214"/>
      <c r="F21" s="214"/>
      <c r="G21" s="214"/>
      <c r="H21" s="214"/>
      <c r="I21" s="214"/>
      <c r="J21" s="41" t="s">
        <v>73</v>
      </c>
    </row>
    <row r="22" spans="2:9" ht="12.75">
      <c r="B22" s="216"/>
      <c r="C22" s="216"/>
      <c r="D22" s="216"/>
      <c r="E22" s="214"/>
      <c r="F22" s="214"/>
      <c r="G22" s="214"/>
      <c r="H22" s="214"/>
      <c r="I22" s="214"/>
    </row>
    <row r="23" spans="1:10" ht="12.75">
      <c r="A23" s="40" t="s">
        <v>22</v>
      </c>
      <c r="B23" s="214"/>
      <c r="C23" s="214"/>
      <c r="D23" s="214"/>
      <c r="E23" s="214"/>
      <c r="F23" s="214"/>
      <c r="G23" s="214"/>
      <c r="H23" s="214"/>
      <c r="I23" s="214"/>
      <c r="J23" s="41" t="s">
        <v>23</v>
      </c>
    </row>
  </sheetData>
  <sheetProtection/>
  <mergeCells count="12">
    <mergeCell ref="J8:J9"/>
    <mergeCell ref="B22:D22"/>
    <mergeCell ref="A5:J5"/>
    <mergeCell ref="A6:J6"/>
    <mergeCell ref="A8:A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4">
      <selection activeCell="B21" sqref="B21"/>
    </sheetView>
  </sheetViews>
  <sheetFormatPr defaultColWidth="9.00390625" defaultRowHeight="12.75"/>
  <cols>
    <col min="1" max="1" width="33.00390625" style="181" customWidth="1"/>
    <col min="2" max="2" width="12.125" style="182" customWidth="1"/>
    <col min="3" max="3" width="14.25390625" style="182" customWidth="1"/>
    <col min="4" max="4" width="11.75390625" style="182" customWidth="1"/>
    <col min="5" max="6" width="13.125" style="182" customWidth="1"/>
    <col min="7" max="7" width="17.375" style="182" customWidth="1"/>
    <col min="8" max="8" width="14.00390625" style="182" customWidth="1"/>
    <col min="9" max="9" width="16.875" style="182" customWidth="1"/>
    <col min="10" max="10" width="14.875" style="182" customWidth="1"/>
    <col min="11" max="11" width="8.75390625" style="183" bestFit="1" customWidth="1"/>
    <col min="12" max="16384" width="9.125" style="183" customWidth="1"/>
  </cols>
  <sheetData>
    <row r="1" ht="12.75">
      <c r="A1" s="181" t="s">
        <v>85</v>
      </c>
    </row>
    <row r="3" spans="1:10" ht="12.75">
      <c r="A3" s="184" t="s">
        <v>141</v>
      </c>
      <c r="B3" s="185"/>
      <c r="C3" s="185"/>
      <c r="D3" s="185"/>
      <c r="E3" s="185"/>
      <c r="F3" s="185"/>
      <c r="G3" s="185"/>
      <c r="H3" s="185"/>
      <c r="I3" s="185"/>
      <c r="J3" s="185" t="s">
        <v>142</v>
      </c>
    </row>
    <row r="4" spans="1:9" ht="12.75">
      <c r="A4" s="186" t="s">
        <v>10</v>
      </c>
      <c r="B4" s="185"/>
      <c r="C4" s="185"/>
      <c r="D4" s="185"/>
      <c r="E4" s="185"/>
      <c r="F4" s="185"/>
      <c r="G4" s="185"/>
      <c r="H4" s="185"/>
      <c r="I4" s="185"/>
    </row>
    <row r="5" spans="1:10" s="188" customFormat="1" ht="12.75">
      <c r="A5" s="187" t="s">
        <v>143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.75">
      <c r="A6" s="189" t="s">
        <v>159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.75">
      <c r="A7" s="190"/>
      <c r="B7" s="190"/>
      <c r="C7" s="190"/>
      <c r="D7" s="190"/>
      <c r="E7" s="190"/>
      <c r="F7" s="190"/>
      <c r="G7" s="190"/>
      <c r="H7" s="190"/>
      <c r="I7" s="190"/>
      <c r="J7" s="190" t="s">
        <v>145</v>
      </c>
    </row>
    <row r="8" spans="1:10" ht="30.75" customHeight="1">
      <c r="A8" s="191"/>
      <c r="B8" s="192" t="s">
        <v>24</v>
      </c>
      <c r="C8" s="193" t="s">
        <v>75</v>
      </c>
      <c r="D8" s="194" t="s">
        <v>71</v>
      </c>
      <c r="E8" s="194" t="s">
        <v>43</v>
      </c>
      <c r="F8" s="194" t="s">
        <v>146</v>
      </c>
      <c r="G8" s="194" t="s">
        <v>147</v>
      </c>
      <c r="H8" s="194" t="s">
        <v>148</v>
      </c>
      <c r="I8" s="194" t="s">
        <v>70</v>
      </c>
      <c r="J8" s="194" t="s">
        <v>149</v>
      </c>
    </row>
    <row r="9" spans="1:10" s="188" customFormat="1" ht="102" customHeight="1">
      <c r="A9" s="191"/>
      <c r="B9" s="195" t="s">
        <v>150</v>
      </c>
      <c r="C9" s="196"/>
      <c r="D9" s="196"/>
      <c r="E9" s="196"/>
      <c r="F9" s="196"/>
      <c r="G9" s="196"/>
      <c r="H9" s="196"/>
      <c r="I9" s="196"/>
      <c r="J9" s="197"/>
    </row>
    <row r="10" spans="1:10" s="188" customFormat="1" ht="12.75">
      <c r="A10" s="198" t="s">
        <v>160</v>
      </c>
      <c r="B10" s="199">
        <v>167878470</v>
      </c>
      <c r="C10" s="199">
        <v>1461271</v>
      </c>
      <c r="D10" s="199">
        <v>15181181</v>
      </c>
      <c r="E10" s="199">
        <v>-110417735</v>
      </c>
      <c r="F10" s="199">
        <v>-64465</v>
      </c>
      <c r="G10" s="199">
        <v>-66397</v>
      </c>
      <c r="H10" s="199">
        <f>B10+C10+D10+E10+F10+G10</f>
        <v>73972325</v>
      </c>
      <c r="I10" s="199">
        <v>213442</v>
      </c>
      <c r="J10" s="202">
        <f>H10+I10</f>
        <v>74185767</v>
      </c>
    </row>
    <row r="11" spans="1:10" s="203" customFormat="1" ht="12.75">
      <c r="A11" s="200" t="s">
        <v>161</v>
      </c>
      <c r="B11" s="201"/>
      <c r="C11" s="201"/>
      <c r="D11" s="201"/>
      <c r="E11" s="201">
        <f>65481</f>
        <v>65481</v>
      </c>
      <c r="F11" s="201"/>
      <c r="G11" s="201"/>
      <c r="H11" s="199">
        <f aca="true" t="shared" si="0" ref="H11:H17">B11+C11+D11+E11+F11+G11</f>
        <v>65481</v>
      </c>
      <c r="I11" s="201">
        <f>21323</f>
        <v>21323</v>
      </c>
      <c r="J11" s="202">
        <f>H11+I11</f>
        <v>86804</v>
      </c>
    </row>
    <row r="12" spans="1:10" s="188" customFormat="1" ht="12.75">
      <c r="A12" s="198" t="s">
        <v>153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39.75" customHeight="1">
      <c r="A13" s="200" t="s">
        <v>154</v>
      </c>
      <c r="B13" s="204"/>
      <c r="C13" s="204"/>
      <c r="D13" s="204"/>
      <c r="E13" s="204"/>
      <c r="F13" s="204">
        <f>-69880-F10</f>
        <v>-5415</v>
      </c>
      <c r="G13" s="204"/>
      <c r="H13" s="199">
        <f t="shared" si="0"/>
        <v>-5415</v>
      </c>
      <c r="I13" s="201">
        <f>2.857%*3346</f>
        <v>95.59522000000001</v>
      </c>
      <c r="J13" s="202">
        <f>H13+I13</f>
        <v>-5319.40478</v>
      </c>
    </row>
    <row r="14" spans="1:10" ht="12.75">
      <c r="A14" s="200" t="s">
        <v>155</v>
      </c>
      <c r="B14" s="204"/>
      <c r="C14" s="204"/>
      <c r="D14" s="204"/>
      <c r="E14" s="204"/>
      <c r="F14" s="204"/>
      <c r="G14" s="204">
        <f>593300-G10</f>
        <v>659697</v>
      </c>
      <c r="H14" s="199">
        <f t="shared" si="0"/>
        <v>659697</v>
      </c>
      <c r="I14" s="201">
        <f>6849+7609</f>
        <v>14458</v>
      </c>
      <c r="J14" s="202">
        <f>H14+I14</f>
        <v>674155</v>
      </c>
    </row>
    <row r="15" spans="1:10" s="188" customFormat="1" ht="26.25" customHeight="1">
      <c r="A15" s="205" t="s">
        <v>156</v>
      </c>
      <c r="B15" s="202">
        <f aca="true" t="shared" si="1" ref="B15:G15">SUM(B11:B14)</f>
        <v>0</v>
      </c>
      <c r="C15" s="202">
        <f t="shared" si="1"/>
        <v>0</v>
      </c>
      <c r="D15" s="202">
        <f t="shared" si="1"/>
        <v>0</v>
      </c>
      <c r="E15" s="202">
        <f t="shared" si="1"/>
        <v>65481</v>
      </c>
      <c r="F15" s="202">
        <f t="shared" si="1"/>
        <v>-5415</v>
      </c>
      <c r="G15" s="202">
        <f t="shared" si="1"/>
        <v>659697</v>
      </c>
      <c r="H15" s="199">
        <f t="shared" si="0"/>
        <v>719763</v>
      </c>
      <c r="I15" s="202">
        <f>SUM(I11:I14)</f>
        <v>35876.59522</v>
      </c>
      <c r="J15" s="202">
        <f>H15+I15</f>
        <v>755639.59522</v>
      </c>
    </row>
    <row r="16" spans="1:11" s="203" customFormat="1" ht="25.5">
      <c r="A16" s="200" t="s">
        <v>157</v>
      </c>
      <c r="B16" s="201"/>
      <c r="C16" s="201"/>
      <c r="D16" s="201"/>
      <c r="E16" s="201"/>
      <c r="F16" s="201"/>
      <c r="G16" s="201"/>
      <c r="H16" s="199">
        <f t="shared" si="0"/>
        <v>0</v>
      </c>
      <c r="I16" s="217">
        <v>-36339</v>
      </c>
      <c r="J16" s="202">
        <f>H16+I16</f>
        <v>-36339</v>
      </c>
      <c r="K16" s="207"/>
    </row>
    <row r="17" spans="1:10" s="188" customFormat="1" ht="13.5" thickBot="1">
      <c r="A17" s="208" t="s">
        <v>162</v>
      </c>
      <c r="B17" s="209">
        <f aca="true" t="shared" si="2" ref="B17:G17">B15+B10</f>
        <v>167878470</v>
      </c>
      <c r="C17" s="209">
        <f t="shared" si="2"/>
        <v>1461271</v>
      </c>
      <c r="D17" s="209">
        <f t="shared" si="2"/>
        <v>15181181</v>
      </c>
      <c r="E17" s="209">
        <f t="shared" si="2"/>
        <v>-110352254</v>
      </c>
      <c r="F17" s="209">
        <f t="shared" si="2"/>
        <v>-69880</v>
      </c>
      <c r="G17" s="209">
        <f t="shared" si="2"/>
        <v>593300</v>
      </c>
      <c r="H17" s="199">
        <f t="shared" si="0"/>
        <v>74692088</v>
      </c>
      <c r="I17" s="209">
        <f>I15+I10+I16</f>
        <v>212979.59522000002</v>
      </c>
      <c r="J17" s="209">
        <f>J15+J10+J16</f>
        <v>74905067.59522</v>
      </c>
    </row>
    <row r="18" spans="1:10" s="188" customFormat="1" ht="12.75">
      <c r="A18" s="210"/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0" s="188" customFormat="1" ht="12.75">
      <c r="A19" s="210"/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s="188" customFormat="1" ht="12.75">
      <c r="A20" s="213"/>
      <c r="B20" s="214"/>
      <c r="C20" s="214"/>
      <c r="D20" s="214"/>
      <c r="E20" s="214"/>
      <c r="F20" s="214"/>
      <c r="G20" s="214"/>
      <c r="H20" s="215"/>
      <c r="I20" s="214"/>
      <c r="J20" s="214"/>
    </row>
    <row r="21" spans="1:10" ht="12.75">
      <c r="A21" s="40" t="s">
        <v>72</v>
      </c>
      <c r="B21" s="214"/>
      <c r="C21" s="214"/>
      <c r="D21" s="214"/>
      <c r="E21" s="214"/>
      <c r="F21" s="214"/>
      <c r="G21" s="214"/>
      <c r="H21" s="214"/>
      <c r="I21" s="214"/>
      <c r="J21" s="41" t="s">
        <v>73</v>
      </c>
    </row>
    <row r="22" spans="2:9" ht="12.75">
      <c r="B22" s="216"/>
      <c r="C22" s="216"/>
      <c r="D22" s="216"/>
      <c r="E22" s="214"/>
      <c r="F22" s="214"/>
      <c r="G22" s="214"/>
      <c r="H22" s="214"/>
      <c r="I22" s="214"/>
    </row>
    <row r="23" spans="1:10" ht="12.75">
      <c r="A23" s="40" t="s">
        <v>22</v>
      </c>
      <c r="B23" s="214"/>
      <c r="C23" s="214"/>
      <c r="D23" s="214"/>
      <c r="E23" s="214"/>
      <c r="F23" s="214"/>
      <c r="G23" s="214"/>
      <c r="H23" s="214"/>
      <c r="I23" s="214"/>
      <c r="J23" s="41" t="s">
        <v>23</v>
      </c>
    </row>
  </sheetData>
  <sheetProtection/>
  <mergeCells count="12">
    <mergeCell ref="J8:J9"/>
    <mergeCell ref="B22:D22"/>
    <mergeCell ref="A5:J5"/>
    <mergeCell ref="A6:J6"/>
    <mergeCell ref="A8:A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nataliy-dv</cp:lastModifiedBy>
  <cp:lastPrinted>2009-11-11T04:43:05Z</cp:lastPrinted>
  <dcterms:created xsi:type="dcterms:W3CDTF">2007-04-23T08:44:03Z</dcterms:created>
  <dcterms:modified xsi:type="dcterms:W3CDTF">2014-05-15T11:22:40Z</dcterms:modified>
  <cp:category/>
  <cp:version/>
  <cp:contentType/>
  <cp:contentStatus/>
</cp:coreProperties>
</file>