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2"/>
  </bookViews>
  <sheets>
    <sheet name="форма 1 (тен)" sheetId="1" r:id="rId1"/>
    <sheet name="форма 2 (тен)" sheetId="2" r:id="rId2"/>
    <sheet name="форма 3 (тен)" sheetId="3" r:id="rId3"/>
    <sheet name="форма 4 (тен) " sheetId="4" r:id="rId4"/>
    <sheet name="Лист1" sheetId="5" r:id="rId5"/>
  </sheets>
  <definedNames>
    <definedName name="_xlnm.Print_Area" localSheetId="0">'форма 1 (тен)'!$A$1:$I$118</definedName>
    <definedName name="_xlnm.Print_Area" localSheetId="1">'форма 2 (тен)'!$A$1:$I$78</definedName>
    <definedName name="_xlnm.Print_Area" localSheetId="2">'форма 3 (тен)'!$A$1:$I$103</definedName>
  </definedNames>
  <calcPr fullCalcOnLoad="1" refMode="R1C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  <author>Касымова Куаныш Имашевна</author>
  </authors>
  <commentList>
    <comment ref="H32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101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102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105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105" authorId="1">
      <text>
        <r>
          <rPr>
            <sz val="8"/>
            <rFont val="Tahoma"/>
            <family val="2"/>
          </rPr>
          <t xml:space="preserve">Формула для расчета итоговой прибыли (убытка). Сумма должна соответствовать стоке 170 ФО.2
</t>
        </r>
      </text>
    </comment>
    <comment ref="J67" authorId="1">
      <text>
        <r>
          <rPr>
            <sz val="8"/>
            <rFont val="Tahoma"/>
            <family val="2"/>
          </rPr>
          <t>Формула для проверки баланса на конец периода</t>
        </r>
      </text>
    </comment>
    <comment ref="K67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J59" authorId="3">
      <text>
        <r>
          <rPr>
            <b/>
            <sz val="9"/>
            <rFont val="Tahoma"/>
            <family val="2"/>
          </rPr>
          <t>Касымова Куаныш Имашевна:</t>
        </r>
        <r>
          <rPr>
            <sz val="9"/>
            <rFont val="Tahoma"/>
            <family val="2"/>
          </rPr>
          <t xml:space="preserve">
Сторно амортизации по тел.трапам</t>
        </r>
      </text>
    </comment>
    <comment ref="I32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101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102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105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  <author>Касымова Куаныш Имашевна</author>
  </authors>
  <commentList>
    <comment ref="H2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37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  <comment ref="H29" authorId="2">
      <text>
        <r>
          <rPr>
            <b/>
            <sz val="9"/>
            <rFont val="Tahoma"/>
            <family val="2"/>
          </rPr>
          <t>Касымова Куаныш Имашевна:</t>
        </r>
        <r>
          <rPr>
            <sz val="9"/>
            <rFont val="Tahoma"/>
            <family val="2"/>
          </rPr>
          <t xml:space="preserve">
Дивиденды. Полученные от ЭйСиЭс + вознаграждения банков</t>
        </r>
      </text>
    </comment>
    <comment ref="I2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I29" authorId="2">
      <text>
        <r>
          <rPr>
            <b/>
            <sz val="9"/>
            <rFont val="Tahoma"/>
            <family val="2"/>
          </rPr>
          <t>Касымова Куаныш Имашевна:</t>
        </r>
        <r>
          <rPr>
            <sz val="9"/>
            <rFont val="Tahoma"/>
            <family val="2"/>
          </rPr>
          <t xml:space="preserve">
Дивиденды. Полученные от ЭйСиЭс + вознаграждения банков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www.PHILka.RU</author>
    <author>Бухгалтер</author>
    <author>Касымова Куаныш Имашевна</author>
  </authors>
  <commentList>
    <comment ref="H93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  <comment ref="I93" authorId="1">
      <text>
        <r>
          <rPr>
            <sz val="8"/>
            <rFont val="Tahoma"/>
            <family val="2"/>
          </rPr>
          <t xml:space="preserve">Переносится сумма из графы "На начало периода" строки 010 ФО.1 </t>
        </r>
      </text>
    </comment>
    <comment ref="J93" authorId="2">
      <text>
        <r>
          <rPr>
            <sz val="8"/>
            <rFont val="Tahoma"/>
            <family val="2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  <comment ref="H32" authorId="3">
      <text>
        <r>
          <rPr>
            <b/>
            <sz val="9"/>
            <rFont val="Tahoma"/>
            <family val="2"/>
          </rPr>
          <t>Касымова Куаныш Имашевна:</t>
        </r>
        <r>
          <rPr>
            <sz val="9"/>
            <rFont val="Tahoma"/>
            <family val="2"/>
          </rPr>
          <t xml:space="preserve">
в том числе поступления вознаграждений от банков. В ф.2 отражены как доходы от финансирования</t>
        </r>
      </text>
    </comment>
    <comment ref="I32" authorId="3">
      <text>
        <r>
          <rPr>
            <b/>
            <sz val="9"/>
            <rFont val="Tahoma"/>
            <family val="2"/>
          </rPr>
          <t>Касымова Куаныш Имашевна:</t>
        </r>
        <r>
          <rPr>
            <sz val="9"/>
            <rFont val="Tahoma"/>
            <family val="2"/>
          </rPr>
          <t xml:space="preserve">
в том числе поступления вознаграждений от банков. В ф.2 отражены как доходы от финансирования</t>
        </r>
      </text>
    </comment>
  </commentList>
</comments>
</file>

<file path=xl/sharedStrings.xml><?xml version="1.0" encoding="utf-8"?>
<sst xmlns="http://schemas.openxmlformats.org/spreadsheetml/2006/main" count="678" uniqueCount="480">
  <si>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</si>
  <si>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</si>
  <si>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</si>
  <si>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</si>
  <si>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</si>
  <si>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</si>
  <si>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</si>
  <si>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</si>
  <si>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</si>
  <si>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</si>
  <si>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</si>
  <si>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</si>
  <si>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</si>
  <si>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</si>
  <si>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</si>
  <si>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</si>
  <si>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</si>
  <si>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</si>
  <si>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</si>
  <si>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</si>
  <si>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</si>
  <si>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</si>
  <si>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</si>
  <si>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</si>
  <si>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</si>
  <si>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</si>
  <si>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</si>
  <si>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</si>
  <si>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</si>
  <si>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</si>
  <si>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</si>
  <si>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</si>
  <si>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</si>
  <si>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</si>
  <si>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</si>
  <si>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</si>
  <si>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</si>
  <si>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</si>
  <si>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</si>
  <si>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</si>
  <si>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</si>
  <si>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</si>
  <si>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</si>
  <si>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</si>
  <si>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</si>
  <si>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</si>
  <si>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</si>
  <si>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</si>
  <si>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</si>
  <si>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</si>
  <si>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</si>
  <si>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</si>
  <si>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</si>
  <si>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</si>
  <si>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</si>
  <si>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</si>
  <si>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</si>
  <si>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</si>
  <si>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</si>
  <si>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</si>
  <si>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</si>
  <si>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</si>
  <si>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</si>
  <si>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</si>
  <si>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</si>
  <si>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</si>
  <si>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</si>
  <si>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</si>
  <si>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</si>
  <si>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</si>
  <si>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</si>
  <si>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</si>
  <si>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</si>
  <si>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</si>
  <si>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</si>
  <si>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</si>
  <si>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</si>
  <si>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</si>
  <si>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</si>
  <si>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</si>
  <si>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</si>
  <si>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</si>
  <si>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</si>
  <si>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</si>
  <si>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</si>
  <si>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</si>
  <si>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</si>
  <si>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</si>
  <si>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</si>
  <si>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</si>
  <si>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</si>
  <si>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</si>
  <si>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</si>
  <si>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</si>
  <si>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</si>
  <si>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</si>
  <si>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</si>
  <si>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</si>
  <si>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</si>
  <si>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</si>
  <si>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</si>
  <si>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</si>
  <si>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</si>
  <si>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Приложение 4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</si>
  <si>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</si>
  <si>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</si>
  <si>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</si>
  <si>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</si>
  <si>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</si>
  <si>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</si>
  <si>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</si>
  <si>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</si>
  <si>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</si>
  <si>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</si>
  <si>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</si>
  <si>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</si>
  <si>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</si>
  <si>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</si>
  <si>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</si>
  <si>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</si>
  <si>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Текщий подоходный налог</t>
  </si>
  <si>
    <t>017</t>
  </si>
  <si>
    <t>018</t>
  </si>
  <si>
    <t>019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</si>
  <si>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</si>
  <si>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</si>
  <si>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</si>
  <si>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</si>
  <si>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</si>
  <si>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</si>
  <si>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</si>
  <si>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</si>
  <si>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</si>
  <si>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</si>
  <si>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</si>
  <si>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</si>
  <si>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</si>
  <si>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</si>
  <si>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</si>
  <si>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</si>
  <si>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</si>
  <si>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</si>
  <si>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</si>
  <si>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</si>
  <si>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</si>
  <si>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</si>
  <si>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</si>
  <si>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</si>
  <si>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</si>
  <si>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</si>
  <si>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</si>
  <si>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</si>
  <si>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</si>
  <si>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</si>
  <si>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</si>
  <si>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</si>
  <si>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</si>
  <si>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</si>
  <si>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</si>
  <si>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</si>
  <si>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</si>
  <si>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</si>
  <si>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</si>
  <si>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</si>
  <si>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</si>
  <si>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</si>
  <si>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</si>
  <si>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</si>
  <si>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</si>
  <si>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</si>
  <si>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</si>
  <si>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</si>
  <si>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</si>
  <si>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</si>
  <si>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</si>
  <si>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</si>
  <si>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</si>
  <si>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</si>
  <si>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</si>
  <si>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</si>
  <si>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</si>
  <si>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</si>
  <si>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</si>
  <si>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</si>
  <si>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</si>
  <si>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</si>
  <si>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</si>
  <si>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</si>
  <si>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</si>
  <si>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</si>
  <si>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(убыток) до налогообложения (+/- строки с 020 по 025)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</si>
  <si>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</si>
  <si>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</si>
  <si>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</si>
  <si>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</si>
  <si>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</si>
  <si>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</si>
  <si>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Актуарные прибыли (убытки) по пенсионным обязательствам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</si>
  <si>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</si>
  <si>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</si>
  <si>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</si>
  <si>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</si>
  <si>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</si>
  <si>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</si>
  <si>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</si>
  <si>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</si>
  <si>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</si>
  <si>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</si>
  <si>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</si>
  <si>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</si>
  <si>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</si>
  <si>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</si>
  <si>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</si>
  <si>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</si>
  <si>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</si>
  <si>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</si>
  <si>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</si>
  <si>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</si>
  <si>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</si>
  <si>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</si>
  <si>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</si>
  <si>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</si>
  <si>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</si>
  <si>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</si>
  <si>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</si>
  <si>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</si>
  <si>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</si>
  <si>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</si>
  <si>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</si>
  <si>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</si>
  <si>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</si>
  <si>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</si>
  <si>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</si>
  <si>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</si>
  <si>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</si>
  <si>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</si>
  <si>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</si>
  <si>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</si>
  <si>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</si>
  <si>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</si>
  <si>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</si>
  <si>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</si>
  <si>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</si>
  <si>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</si>
  <si>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</si>
  <si>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</si>
  <si>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</si>
  <si>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</si>
  <si>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</si>
  <si>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</si>
  <si>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</si>
  <si>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</si>
  <si>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</si>
  <si>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</si>
  <si>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</si>
  <si>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</si>
  <si>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</si>
  <si>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</si>
  <si>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</si>
  <si>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</si>
  <si>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</si>
  <si>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</si>
  <si>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</si>
  <si>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</si>
  <si>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</si>
  <si>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</si>
  <si>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</si>
  <si>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</si>
  <si>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</si>
  <si>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</si>
  <si>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</si>
  <si>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</si>
  <si>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</si>
  <si>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</si>
  <si>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</si>
  <si>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</si>
  <si>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</si>
  <si>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</si>
  <si>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</si>
  <si>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</si>
  <si>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</si>
  <si>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</si>
  <si>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</si>
  <si>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</si>
  <si>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</si>
  <si>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</si>
  <si>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</si>
  <si>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</si>
  <si>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</si>
  <si>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</si>
  <si>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Операции с собственниками , всего (сумма строк с 310 по 318)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</si>
  <si>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</si>
  <si>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</si>
  <si>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</si>
  <si>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</si>
  <si>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</si>
  <si>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тыс.тенге</t>
  </si>
  <si>
    <t>Форма собственности</t>
  </si>
  <si>
    <t>Форма</t>
  </si>
  <si>
    <t>ЧАСТНАЯ СОБСТВЕННОСТЬ</t>
  </si>
  <si>
    <t>Сальдо на 31 марта отчетного года (строка 500 + строка 600 + строка 700)</t>
  </si>
  <si>
    <t>Ержанов Б.К.</t>
  </si>
  <si>
    <t>от 28 июня 2017 года № 404</t>
  </si>
  <si>
    <t>АКТИВЫ</t>
  </si>
  <si>
    <t>Краткосрочные активы</t>
  </si>
  <si>
    <t>АО "МАА"</t>
  </si>
  <si>
    <t>Консолидация</t>
  </si>
  <si>
    <t xml:space="preserve"> 01.01.2017</t>
  </si>
  <si>
    <t xml:space="preserve"> 30.09.2017</t>
  </si>
  <si>
    <t xml:space="preserve">Денежные средства на текущих банковских счетах </t>
  </si>
  <si>
    <t>Денежные средства в кассе</t>
  </si>
  <si>
    <t>итого</t>
  </si>
  <si>
    <t>Краткосрочная прочая и торговая  деб.задолженность</t>
  </si>
  <si>
    <t>Торговая дебиторская задолженность</t>
  </si>
  <si>
    <t xml:space="preserve">Прочая дебиторская задолженность </t>
  </si>
  <si>
    <t xml:space="preserve">Сырье и материалы </t>
  </si>
  <si>
    <t>Топливо</t>
  </si>
  <si>
    <t>Запасные части</t>
  </si>
  <si>
    <t>Товары</t>
  </si>
  <si>
    <t xml:space="preserve">Строительные и др.материалы </t>
  </si>
  <si>
    <t>Прочие материалы</t>
  </si>
  <si>
    <t>Долгосрочные активы</t>
  </si>
  <si>
    <t>Земля</t>
  </si>
  <si>
    <t>Здания, сооружения</t>
  </si>
  <si>
    <t>Оборудование</t>
  </si>
  <si>
    <t>Автомашины</t>
  </si>
  <si>
    <t>Прочие</t>
  </si>
  <si>
    <t>износ</t>
  </si>
  <si>
    <t>Программное обеспечение</t>
  </si>
  <si>
    <t>Прочие нематериальные активы</t>
  </si>
  <si>
    <t>Износ</t>
  </si>
  <si>
    <t>Долгосрочная дебиторская задолженность</t>
  </si>
  <si>
    <t>Долгосрочная задолженность подотчетных лиц</t>
  </si>
  <si>
    <t>Прочая долгосрочная дебиторская задолженность</t>
  </si>
  <si>
    <t>Незавершенное строительство</t>
  </si>
  <si>
    <t>ОБЯЗАТЕЛЬСТВА</t>
  </si>
  <si>
    <t>Краткосрочные обязательства</t>
  </si>
  <si>
    <t>Краткосрочная прочая и торговая  кред.задолженность</t>
  </si>
  <si>
    <t>задолженность поставщикам и подрядчикам</t>
  </si>
  <si>
    <t>прочая краткосрочная задолженность</t>
  </si>
  <si>
    <t>авансы полученные</t>
  </si>
  <si>
    <t>расчеты с персоналом по оплате труда</t>
  </si>
  <si>
    <t>Краткосрочные обязательства по налогам и отчислениям</t>
  </si>
  <si>
    <t>КПН</t>
  </si>
  <si>
    <t>Индивидуальный подоходный налог</t>
  </si>
  <si>
    <t>Налог на добавленную стоимость</t>
  </si>
  <si>
    <t>ИПН с нерезидентов</t>
  </si>
  <si>
    <t>Социальный налог</t>
  </si>
  <si>
    <t>Налог на транспортные средства</t>
  </si>
  <si>
    <t>Прочие налоги</t>
  </si>
  <si>
    <t>Обязательства по социальному страхованию</t>
  </si>
  <si>
    <t>Обязательства по пенсионным отчислениям</t>
  </si>
  <si>
    <t>КАПИТАЛ</t>
  </si>
  <si>
    <t>Уставный капитал</t>
  </si>
  <si>
    <t>Резерв на переоценку основных средств</t>
  </si>
  <si>
    <t>Нераспределенная прибыль (непокрытый убыток)  отчетного года</t>
  </si>
  <si>
    <t>Нераспределенная прибыль (непокрытый убыток) предыдущих лет</t>
  </si>
  <si>
    <t>Общие административные расходы</t>
  </si>
  <si>
    <t xml:space="preserve">Расходы по налогу на добавленную стоимость </t>
  </si>
  <si>
    <t xml:space="preserve">Расходы на персонал </t>
  </si>
  <si>
    <t xml:space="preserve">Налоги, кроме подоходного налога </t>
  </si>
  <si>
    <t xml:space="preserve">Расходы на материалы </t>
  </si>
  <si>
    <t xml:space="preserve">Консультационные и аудиторские услуги </t>
  </si>
  <si>
    <t>Охрана и безопасность</t>
  </si>
  <si>
    <t xml:space="preserve">Износ и амортизация </t>
  </si>
  <si>
    <t>Штрафы</t>
  </si>
  <si>
    <t xml:space="preserve">Прочее </t>
  </si>
  <si>
    <t>Актуарий</t>
  </si>
  <si>
    <t>по состоянию на  31.03. 2020 года</t>
  </si>
  <si>
    <t>За предыдущий период ( янв-март 2019г.)</t>
  </si>
  <si>
    <t>За отчетный период ( янв-март 2020)</t>
  </si>
  <si>
    <t>за период, заканчивающийся 31 марта 2020 года</t>
  </si>
  <si>
    <t>Приложение 1</t>
  </si>
  <si>
    <t>к 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</si>
  <si>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</si>
  <si>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</si>
  <si>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</si>
  <si>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</si>
  <si>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</si>
  <si>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</si>
  <si>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к приказу Министра финансов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</si>
  <si>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</si>
  <si>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</si>
  <si>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</si>
  <si>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</si>
  <si>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</si>
  <si>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</si>
  <si>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</si>
  <si>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</si>
  <si>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</si>
  <si>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</si>
  <si>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</si>
  <si>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</si>
  <si>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</si>
  <si>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</si>
  <si>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</si>
  <si>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124</t>
  </si>
  <si>
    <t>125</t>
  </si>
  <si>
    <t>126</t>
  </si>
  <si>
    <t>127</t>
  </si>
  <si>
    <t>Итого долгосрочных активов (сумма строк с 110 по 127)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</si>
  <si>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</si>
  <si>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</si>
  <si>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</si>
  <si>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218</t>
  </si>
  <si>
    <t>219</t>
  </si>
  <si>
    <t>220</t>
  </si>
  <si>
    <t>221</t>
  </si>
  <si>
    <t>222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</si>
  <si>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</si>
  <si>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</si>
  <si>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</si>
  <si>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</si>
  <si>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</si>
  <si>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</si>
  <si>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</si>
  <si>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317</t>
  </si>
  <si>
    <t>318</t>
  </si>
  <si>
    <t>319</t>
  </si>
  <si>
    <t>320</t>
  </si>
  <si>
    <t>321</t>
  </si>
  <si>
    <t>Долгосрочная задолженность по аренде</t>
  </si>
  <si>
    <t>Долгосрочные обязательства по договорам с покупателями</t>
  </si>
  <si>
    <t>Компоненты прочего совокупного дохода</t>
  </si>
  <si>
    <t>Прочий капитал</t>
  </si>
  <si>
    <t>Финансовые доходы</t>
  </si>
  <si>
    <t>Финансовые расходы</t>
  </si>
  <si>
    <t>Прочие  доходы</t>
  </si>
  <si>
    <t>Расходы (-) (доходы (+)) по подоходному налогу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</si>
  <si>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</si>
  <si>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</si>
  <si>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</si>
  <si>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</si>
  <si>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</si>
  <si>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</si>
  <si>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</si>
  <si>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431</t>
  </si>
  <si>
    <t>432</t>
  </si>
  <si>
    <t>433</t>
  </si>
  <si>
    <t>434</t>
  </si>
  <si>
    <t>435</t>
  </si>
  <si>
    <t>440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</si>
  <si>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</si>
  <si>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</si>
  <si>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</si>
  <si>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 xml:space="preserve">Общий совокупный доход(строка 300 + строка 400)
</t>
  </si>
  <si>
    <t xml:space="preserve">           изъятие денежных вкладов</t>
  </si>
  <si>
    <t>052</t>
  </si>
  <si>
    <t xml:space="preserve">           размещение денежных вкладов</t>
  </si>
  <si>
    <t xml:space="preserve">           выплата вознаграждения</t>
  </si>
  <si>
    <t>072</t>
  </si>
  <si>
    <t>073</t>
  </si>
  <si>
    <t>2. Выбытие денежных средств, всего (сумма строк с 061 по 073)</t>
  </si>
  <si>
    <t>1. Поступление денежных средств, всего (сумма строк с 041 по 052)</t>
  </si>
  <si>
    <t>5. Влияние изменения балансовой стоимости денежных средств и их эквивалентов</t>
  </si>
  <si>
    <t>6. Увеличение + / - уменьшение денежных средств      (строка 030 + / - строка 080 + / - строка 110+ / - строка 120+ / - строка 130)</t>
  </si>
  <si>
    <t>160</t>
  </si>
  <si>
    <t>Приложение 5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</si>
  <si>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</si>
  <si>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</si>
  <si>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</si>
  <si>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 xml:space="preserve">Эффект изменения в ставке подоходного налога на отсроченный налог </t>
  </si>
  <si>
    <t>Прочие операции</t>
  </si>
  <si>
    <t>Сальдо на 1 января отчетного года (строка 100 + строка 200 + строка 300 + строка 319)</t>
  </si>
  <si>
    <t>Прочий совокупный доход, всего (сумма строк с 621 по 629):</t>
  </si>
  <si>
    <t>Прибыль (убыток) после налогообложения от продолжающейся деятельности (строка 100+ строка 101)</t>
  </si>
  <si>
    <t>КОНСОЛИДИРОВАННЫЙ</t>
  </si>
  <si>
    <t>ТОО "ACS"</t>
  </si>
  <si>
    <t>ТОО "FBO"</t>
  </si>
  <si>
    <t xml:space="preserve">Балансовая стоимость акции. В тенге                                                                      </t>
  </si>
  <si>
    <t>3 228 902</t>
  </si>
  <si>
    <t>3 536 338</t>
  </si>
  <si>
    <t>прочие обязательства</t>
  </si>
  <si>
    <t>Авансы выданные</t>
  </si>
  <si>
    <t xml:space="preserve">Предоплата по налогу на добавленную стоимость        </t>
  </si>
  <si>
    <t>Прочее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</si>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</sst>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00"/>
    <numFmt numFmtId="175" formatCode="0.0"/>
    <numFmt numFmtId="176" formatCode="[$-FC19]d\ mmmm\ yyyy\ &quot;г.&quot;"/>
    <numFmt numFmtId="177" formatCode="000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ahoma"/>
      <family val="2"/>
    </font>
    <font>
      <b/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3" fontId="8" fillId="0" borderId="12" xfId="54" applyNumberFormat="1" applyFont="1" applyBorder="1" applyAlignment="1" applyProtection="1">
      <alignment horizontal="right"/>
      <protection hidden="1" locked="0"/>
    </xf>
    <xf numFmtId="3" fontId="6" fillId="34" borderId="12" xfId="54" applyNumberFormat="1" applyFont="1" applyFill="1" applyBorder="1" applyAlignment="1" applyProtection="1">
      <alignment horizontal="right"/>
      <protection hidden="1" locked="0"/>
    </xf>
    <xf numFmtId="4" fontId="6" fillId="0" borderId="0" xfId="54" applyNumberFormat="1" applyFont="1" applyProtection="1">
      <alignment/>
      <protection hidden="1" locked="0"/>
    </xf>
    <xf numFmtId="3" fontId="8" fillId="33" borderId="12" xfId="54" applyNumberFormat="1" applyFont="1" applyFill="1" applyBorder="1" applyAlignment="1" applyProtection="1">
      <alignment horizontal="right" vertical="center"/>
      <protection hidden="1" locked="0"/>
    </xf>
    <xf numFmtId="3" fontId="6" fillId="0" borderId="12" xfId="54" applyNumberFormat="1" applyFont="1" applyFill="1" applyBorder="1" applyAlignment="1" applyProtection="1">
      <alignment horizontal="right"/>
      <protection hidden="1" locked="0"/>
    </xf>
    <xf numFmtId="3" fontId="8" fillId="0" borderId="12" xfId="54" applyNumberFormat="1" applyFont="1" applyBorder="1" applyAlignment="1" applyProtection="1">
      <alignment horizontal="right" vertical="center"/>
      <protection hidden="1" locked="0"/>
    </xf>
    <xf numFmtId="4" fontId="8" fillId="0" borderId="0" xfId="54" applyNumberFormat="1" applyFont="1" applyProtection="1">
      <alignment/>
      <protection hidden="1" locked="0"/>
    </xf>
    <xf numFmtId="0" fontId="8" fillId="33" borderId="0" xfId="54" applyFont="1" applyFill="1" applyBorder="1" applyAlignment="1" applyProtection="1">
      <alignment horizontal="left"/>
      <protection hidden="1" locked="0"/>
    </xf>
    <xf numFmtId="0" fontId="8" fillId="33" borderId="0" xfId="54" applyFont="1" applyFill="1" applyBorder="1" applyProtection="1">
      <alignment/>
      <protection hidden="1" locked="0"/>
    </xf>
    <xf numFmtId="4" fontId="8" fillId="33" borderId="0" xfId="54" applyNumberFormat="1" applyFont="1" applyFill="1" applyBorder="1" applyAlignment="1" applyProtection="1">
      <alignment horizontal="right"/>
      <protection hidden="1" locked="0"/>
    </xf>
    <xf numFmtId="0" fontId="6" fillId="0" borderId="0" xfId="54" applyFont="1" applyAlignment="1" applyProtection="1">
      <alignment wrapText="1"/>
      <protection hidden="1" locked="0"/>
    </xf>
    <xf numFmtId="0" fontId="6" fillId="0" borderId="0" xfId="54" applyFont="1" applyAlignment="1" applyProtection="1">
      <alignment wrapText="1"/>
      <protection hidden="1"/>
    </xf>
    <xf numFmtId="0" fontId="6" fillId="33" borderId="0" xfId="54" applyFont="1" applyFill="1" applyAlignment="1" applyProtection="1">
      <alignment wrapText="1"/>
      <protection hidden="1" locked="0"/>
    </xf>
    <xf numFmtId="177" fontId="6" fillId="33" borderId="12" xfId="54" applyNumberFormat="1" applyFont="1" applyFill="1" applyBorder="1" applyAlignment="1" applyProtection="1">
      <alignment horizontal="center" wrapText="1"/>
      <protection hidden="1" locked="0"/>
    </xf>
    <xf numFmtId="3" fontId="6" fillId="35" borderId="12" xfId="54" applyNumberFormat="1" applyFont="1" applyFill="1" applyBorder="1" applyAlignment="1" applyProtection="1">
      <alignment horizontal="right" wrapText="1"/>
      <protection locked="0"/>
    </xf>
    <xf numFmtId="0" fontId="8" fillId="33" borderId="0" xfId="54" applyFont="1" applyFill="1" applyBorder="1" applyAlignment="1" applyProtection="1">
      <alignment horizontal="left" vertical="center" wrapText="1"/>
      <protection hidden="1" locked="0"/>
    </xf>
    <xf numFmtId="49" fontId="8" fillId="33" borderId="0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0" xfId="54" applyNumberFormat="1" applyFont="1" applyFill="1" applyBorder="1" applyAlignment="1" applyProtection="1">
      <alignment horizontal="right"/>
      <protection hidden="1" locked="0"/>
    </xf>
    <xf numFmtId="0" fontId="7" fillId="33" borderId="0" xfId="54" applyFont="1" applyFill="1" applyBorder="1" applyAlignment="1" applyProtection="1">
      <alignment horizontal="center"/>
      <protection hidden="1" locked="0"/>
    </xf>
    <xf numFmtId="3" fontId="8" fillId="0" borderId="12" xfId="54" applyNumberFormat="1" applyFont="1" applyFill="1" applyBorder="1" applyAlignment="1" applyProtection="1">
      <alignment horizontal="righ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8" fontId="16" fillId="0" borderId="12" xfId="63" applyNumberFormat="1" applyFont="1" applyBorder="1" applyAlignment="1">
      <alignment horizontal="center" vertical="top" wrapText="1"/>
    </xf>
    <xf numFmtId="0" fontId="8" fillId="33" borderId="15" xfId="54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78" fontId="16" fillId="0" borderId="16" xfId="63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178" fontId="16" fillId="36" borderId="12" xfId="63" applyNumberFormat="1" applyFont="1" applyFill="1" applyBorder="1" applyAlignment="1">
      <alignment horizontal="center" vertical="top" wrapText="1"/>
    </xf>
    <xf numFmtId="3" fontId="6" fillId="0" borderId="0" xfId="54" applyNumberFormat="1" applyFont="1" applyProtection="1">
      <alignment/>
      <protection hidden="1" locked="0"/>
    </xf>
    <xf numFmtId="14" fontId="2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1" fillId="37" borderId="0" xfId="0" applyFont="1" applyFill="1" applyAlignment="1">
      <alignment/>
    </xf>
    <xf numFmtId="3" fontId="21" fillId="0" borderId="0" xfId="0" applyNumberFormat="1" applyFont="1" applyAlignment="1">
      <alignment/>
    </xf>
    <xf numFmtId="0" fontId="0" fillId="37" borderId="0" xfId="0" applyFill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3" fontId="0" fillId="0" borderId="0" xfId="0" applyNumberFormat="1" applyFill="1" applyAlignment="1">
      <alignment/>
    </xf>
    <xf numFmtId="3" fontId="24" fillId="0" borderId="0" xfId="55" applyNumberFormat="1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64" fillId="0" borderId="0" xfId="0" applyFont="1" applyAlignment="1">
      <alignment wrapText="1"/>
    </xf>
    <xf numFmtId="0" fontId="64" fillId="0" borderId="17" xfId="0" applyFont="1" applyBorder="1" applyAlignment="1">
      <alignment wrapText="1"/>
    </xf>
    <xf numFmtId="0" fontId="0" fillId="0" borderId="0" xfId="0" applyFill="1" applyBorder="1" applyAlignment="1">
      <alignment/>
    </xf>
    <xf numFmtId="3" fontId="64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3" fontId="21" fillId="37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37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12" fillId="0" borderId="0" xfId="42" applyFont="1" applyAlignment="1" applyProtection="1">
      <alignment horizontal="right"/>
      <protection/>
    </xf>
    <xf numFmtId="0" fontId="6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6" fillId="36" borderId="12" xfId="54" applyNumberFormat="1" applyFont="1" applyFill="1" applyBorder="1" applyAlignment="1" applyProtection="1">
      <alignment horizontal="right"/>
      <protection locked="0"/>
    </xf>
    <xf numFmtId="3" fontId="8" fillId="36" borderId="12" xfId="54" applyNumberFormat="1" applyFont="1" applyFill="1" applyBorder="1" applyAlignment="1" applyProtection="1">
      <alignment horizontal="right"/>
      <protection locked="0"/>
    </xf>
    <xf numFmtId="3" fontId="6" fillId="6" borderId="12" xfId="54" applyNumberFormat="1" applyFont="1" applyFill="1" applyBorder="1" applyAlignment="1" applyProtection="1">
      <alignment horizontal="right"/>
      <protection locked="0"/>
    </xf>
    <xf numFmtId="3" fontId="8" fillId="6" borderId="12" xfId="54" applyNumberFormat="1" applyFont="1" applyFill="1" applyBorder="1" applyAlignment="1" applyProtection="1">
      <alignment horizontal="right"/>
      <protection locked="0"/>
    </xf>
    <xf numFmtId="3" fontId="6" fillId="2" borderId="12" xfId="54" applyNumberFormat="1" applyFont="1" applyFill="1" applyBorder="1" applyAlignment="1" applyProtection="1">
      <alignment horizontal="right"/>
      <protection locked="0"/>
    </xf>
    <xf numFmtId="3" fontId="8" fillId="2" borderId="12" xfId="54" applyNumberFormat="1" applyFont="1" applyFill="1" applyBorder="1" applyAlignment="1" applyProtection="1">
      <alignment horizontal="right"/>
      <protection locked="0"/>
    </xf>
    <xf numFmtId="3" fontId="6" fillId="6" borderId="0" xfId="54" applyNumberFormat="1" applyFont="1" applyFill="1" applyAlignment="1" applyProtection="1">
      <alignment horizontal="right"/>
      <protection locked="0"/>
    </xf>
    <xf numFmtId="3" fontId="8" fillId="36" borderId="12" xfId="54" applyNumberFormat="1" applyFont="1" applyFill="1" applyBorder="1" applyAlignment="1" applyProtection="1">
      <alignment horizontal="right"/>
      <protection hidden="1" locked="0"/>
    </xf>
    <xf numFmtId="3" fontId="6" fillId="0" borderId="0" xfId="54" applyNumberFormat="1" applyFont="1">
      <alignment/>
      <protection/>
    </xf>
    <xf numFmtId="0" fontId="64" fillId="0" borderId="0" xfId="0" applyFont="1" applyAlignment="1">
      <alignment horizontal="right" wrapText="1"/>
    </xf>
    <xf numFmtId="3" fontId="64" fillId="0" borderId="0" xfId="0" applyNumberFormat="1" applyFont="1" applyAlignment="1">
      <alignment horizontal="right" wrapText="1"/>
    </xf>
    <xf numFmtId="0" fontId="67" fillId="0" borderId="18" xfId="0" applyFont="1" applyBorder="1" applyAlignment="1">
      <alignment horizontal="right" wrapText="1"/>
    </xf>
    <xf numFmtId="0" fontId="22" fillId="0" borderId="19" xfId="0" applyFont="1" applyBorder="1" applyAlignment="1">
      <alignment wrapText="1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7" fillId="33" borderId="20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3" fontId="6" fillId="33" borderId="21" xfId="54" applyNumberFormat="1" applyFont="1" applyFill="1" applyBorder="1" applyAlignment="1" applyProtection="1">
      <alignment horizontal="right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14" fillId="33" borderId="22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23" xfId="54" applyFont="1" applyFill="1" applyBorder="1" applyAlignment="1" applyProtection="1">
      <alignment horizontal="center" vertical="center" wrapText="1"/>
      <protection hidden="1" locked="0"/>
    </xf>
    <xf numFmtId="0" fontId="14" fillId="33" borderId="24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5" xfId="54" applyFont="1" applyFill="1" applyBorder="1" applyAlignment="1" applyProtection="1">
      <alignment horizontal="center" vertical="center" wrapText="1"/>
      <protection hidden="1" locked="0"/>
    </xf>
    <xf numFmtId="3" fontId="7" fillId="33" borderId="20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0" fontId="8" fillId="33" borderId="14" xfId="54" applyFont="1" applyFill="1" applyBorder="1" applyAlignment="1" applyProtection="1">
      <alignment horizontal="center" vertical="center"/>
      <protection hidden="1" locked="0"/>
    </xf>
    <xf numFmtId="0" fontId="8" fillId="33" borderId="11" xfId="54" applyFont="1" applyFill="1" applyBorder="1" applyAlignment="1" applyProtection="1">
      <alignment horizontal="center" vertical="center"/>
      <protection hidden="1" locked="0"/>
    </xf>
    <xf numFmtId="3" fontId="8" fillId="33" borderId="11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13" xfId="54" applyNumberFormat="1" applyFont="1" applyFill="1" applyBorder="1" applyAlignment="1" applyProtection="1">
      <alignment horizontal="center" vertical="center"/>
      <protection hidden="1" locked="0"/>
    </xf>
    <xf numFmtId="0" fontId="8" fillId="33" borderId="10" xfId="54" applyFont="1" applyFill="1" applyBorder="1" applyAlignment="1" applyProtection="1">
      <alignment horizontal="center" vertical="top" wrapText="1"/>
      <protection hidden="1" locked="0"/>
    </xf>
    <xf numFmtId="0" fontId="8" fillId="33" borderId="13" xfId="54" applyFont="1" applyFill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8" fillId="33" borderId="29" xfId="54" applyFont="1" applyFill="1" applyBorder="1" applyAlignment="1" applyProtection="1">
      <alignment horizontal="center" vertical="center" wrapText="1"/>
      <protection hidden="1" locked="0"/>
    </xf>
    <xf numFmtId="0" fontId="8" fillId="33" borderId="30" xfId="54" applyFont="1" applyFill="1" applyBorder="1" applyAlignment="1" applyProtection="1">
      <alignment horizontal="center" vertical="center" wrapText="1"/>
      <protection hidden="1" locked="0"/>
    </xf>
    <xf numFmtId="0" fontId="8" fillId="33" borderId="0" xfId="54" applyFont="1" applyFill="1" applyAlignment="1" applyProtection="1">
      <alignment horizontal="center" wrapText="1"/>
      <protection hidden="1" locked="0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8" fillId="33" borderId="31" xfId="54" applyFont="1" applyFill="1" applyBorder="1" applyAlignment="1" applyProtection="1">
      <alignment horizontal="center" vertical="center" wrapText="1"/>
      <protection hidden="1" locked="0"/>
    </xf>
    <xf numFmtId="0" fontId="8" fillId="33" borderId="32" xfId="54" applyFont="1" applyFill="1" applyBorder="1" applyAlignment="1" applyProtection="1">
      <alignment horizontal="center" vertical="center" wrapText="1"/>
      <protection hidden="1" locked="0"/>
    </xf>
    <xf numFmtId="3" fontId="0" fillId="0" borderId="0" xfId="0" applyNumberForma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314325</xdr:colOff>
      <xdr:row>10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161925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1619250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</xdr:col>
      <xdr:colOff>123825</xdr:colOff>
      <xdr:row>11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178117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85725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76375" y="1781175"/>
          <a:ext cx="664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74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43325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zoomScalePageLayoutView="0" workbookViewId="0" topLeftCell="A85">
      <selection activeCell="H105" sqref="H105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6.875" style="2" customWidth="1"/>
    <col min="11" max="11" width="17.875" style="2" customWidth="1"/>
    <col min="12" max="16384" width="9.125" style="2" customWidth="1"/>
  </cols>
  <sheetData>
    <row r="1" ht="12.75">
      <c r="I1" s="94" t="s">
        <v>372</v>
      </c>
    </row>
    <row r="2" ht="12.75">
      <c r="I2" s="95" t="s">
        <v>373</v>
      </c>
    </row>
    <row r="3" ht="12.75">
      <c r="I3" s="94" t="s">
        <v>374</v>
      </c>
    </row>
    <row r="4" ht="12.75">
      <c r="I4" s="94" t="s">
        <v>375</v>
      </c>
    </row>
    <row r="5" ht="12.75">
      <c r="I5" s="94" t="s">
        <v>376</v>
      </c>
    </row>
    <row r="6" ht="12.75">
      <c r="I6" s="94" t="s">
        <v>377</v>
      </c>
    </row>
    <row r="7" ht="12.75">
      <c r="I7" s="94" t="s">
        <v>378</v>
      </c>
    </row>
    <row r="8" ht="12.75">
      <c r="I8" s="94" t="s">
        <v>379</v>
      </c>
    </row>
    <row r="9" ht="12.75">
      <c r="I9" s="94"/>
    </row>
    <row r="10" ht="12.75">
      <c r="I10" s="94" t="s">
        <v>85</v>
      </c>
    </row>
    <row r="11" ht="12.75">
      <c r="I11" s="94" t="s">
        <v>380</v>
      </c>
    </row>
    <row r="12" ht="12.75">
      <c r="I12" s="94" t="s">
        <v>378</v>
      </c>
    </row>
    <row r="13" ht="12.75">
      <c r="I13" s="94" t="s">
        <v>302</v>
      </c>
    </row>
    <row r="14" spans="1:11" ht="12" customHeight="1">
      <c r="A14" s="4"/>
      <c r="B14" s="4"/>
      <c r="C14" s="4"/>
      <c r="D14" s="4"/>
      <c r="E14" s="4"/>
      <c r="F14" s="4"/>
      <c r="G14" s="4"/>
      <c r="H14" s="4"/>
      <c r="I14" s="93" t="s">
        <v>298</v>
      </c>
      <c r="J14" s="1"/>
      <c r="K14" s="1"/>
    </row>
    <row r="15" spans="1:11" ht="12.75">
      <c r="A15" s="4" t="s">
        <v>86</v>
      </c>
      <c r="B15" s="4"/>
      <c r="C15" s="4"/>
      <c r="D15" s="5" t="s">
        <v>110</v>
      </c>
      <c r="E15" s="5"/>
      <c r="F15" s="5"/>
      <c r="G15" s="5"/>
      <c r="H15" s="5"/>
      <c r="I15" s="5"/>
      <c r="J15" s="1"/>
      <c r="K15" s="1"/>
    </row>
    <row r="16" spans="1:11" ht="12.75">
      <c r="A16" s="4" t="s">
        <v>111</v>
      </c>
      <c r="B16" s="4"/>
      <c r="C16" s="4"/>
      <c r="D16" s="7" t="s">
        <v>112</v>
      </c>
      <c r="E16" s="7"/>
      <c r="F16" s="7"/>
      <c r="G16" s="7"/>
      <c r="H16" s="7"/>
      <c r="I16" s="7"/>
      <c r="J16" s="1"/>
      <c r="K16" s="1"/>
    </row>
    <row r="17" spans="1:11" ht="12.75">
      <c r="A17" s="4" t="s">
        <v>87</v>
      </c>
      <c r="B17" s="4"/>
      <c r="C17" s="4"/>
      <c r="D17" s="4" t="s">
        <v>295</v>
      </c>
      <c r="E17" s="4"/>
      <c r="F17" s="4"/>
      <c r="G17" s="4"/>
      <c r="H17" s="4"/>
      <c r="I17" s="4"/>
      <c r="J17" s="1"/>
      <c r="K17" s="1"/>
    </row>
    <row r="18" spans="1:11" ht="12.75">
      <c r="A18" s="4" t="s">
        <v>88</v>
      </c>
      <c r="B18" s="4"/>
      <c r="C18" s="4"/>
      <c r="D18" s="6" t="s">
        <v>83</v>
      </c>
      <c r="E18" s="6"/>
      <c r="F18" s="6"/>
      <c r="G18" s="6"/>
      <c r="H18" s="6"/>
      <c r="I18" s="6"/>
      <c r="J18" s="1"/>
      <c r="K18" s="1"/>
    </row>
    <row r="19" spans="1:11" ht="12.75">
      <c r="A19" s="4" t="s">
        <v>113</v>
      </c>
      <c r="B19" s="4"/>
      <c r="C19" s="4"/>
      <c r="D19" s="7"/>
      <c r="E19" s="7"/>
      <c r="F19" s="6"/>
      <c r="G19" s="6" t="s">
        <v>466</v>
      </c>
      <c r="H19" s="6"/>
      <c r="I19" s="6"/>
      <c r="J19" s="1"/>
      <c r="K19" s="1"/>
    </row>
    <row r="20" spans="1:11" ht="12.75">
      <c r="A20" s="4" t="s">
        <v>297</v>
      </c>
      <c r="B20" s="4"/>
      <c r="C20" s="4"/>
      <c r="D20" s="7"/>
      <c r="E20" s="7" t="s">
        <v>299</v>
      </c>
      <c r="F20" s="6"/>
      <c r="G20" s="6"/>
      <c r="H20" s="6"/>
      <c r="I20" s="7"/>
      <c r="J20" s="1"/>
      <c r="K20" s="1"/>
    </row>
    <row r="21" spans="1:11" ht="12.75">
      <c r="A21" s="4" t="s">
        <v>89</v>
      </c>
      <c r="B21" s="4"/>
      <c r="C21" s="4"/>
      <c r="D21" s="7"/>
      <c r="E21" s="5"/>
      <c r="F21" s="6"/>
      <c r="G21" s="6"/>
      <c r="H21" s="6"/>
      <c r="I21" s="7" t="s">
        <v>90</v>
      </c>
      <c r="J21" s="1"/>
      <c r="K21" s="1"/>
    </row>
    <row r="22" spans="1:11" ht="12.75">
      <c r="A22" s="7" t="s">
        <v>91</v>
      </c>
      <c r="B22" s="7"/>
      <c r="C22" s="7"/>
      <c r="D22" s="5" t="s">
        <v>92</v>
      </c>
      <c r="E22" s="6"/>
      <c r="F22" s="6"/>
      <c r="G22" s="6"/>
      <c r="H22" s="6"/>
      <c r="I22" s="5"/>
      <c r="J22" s="1"/>
      <c r="K22" s="1"/>
    </row>
    <row r="23" spans="1:11" ht="12.75">
      <c r="A23" s="7"/>
      <c r="B23" s="7"/>
      <c r="C23" s="7"/>
      <c r="D23" s="7"/>
      <c r="E23" s="8" t="s">
        <v>93</v>
      </c>
      <c r="F23" s="7"/>
      <c r="G23" s="7"/>
      <c r="H23" s="7"/>
      <c r="I23" s="7"/>
      <c r="J23" s="1"/>
      <c r="K23" s="1"/>
    </row>
    <row r="24" spans="1:11" ht="12.75" customHeight="1">
      <c r="A24" s="7" t="s">
        <v>94</v>
      </c>
      <c r="B24" s="7"/>
      <c r="C24" s="7"/>
      <c r="D24" s="5" t="s">
        <v>114</v>
      </c>
      <c r="E24" s="5"/>
      <c r="F24" s="5"/>
      <c r="G24" s="5"/>
      <c r="H24" s="5"/>
      <c r="I24" s="5"/>
      <c r="J24" s="1"/>
      <c r="K24" s="1"/>
    </row>
    <row r="25" spans="1:11" ht="0.75" customHeight="1">
      <c r="A25" s="4"/>
      <c r="B25" s="4"/>
      <c r="C25" s="4"/>
      <c r="D25" s="7"/>
      <c r="E25" s="7"/>
      <c r="F25" s="7"/>
      <c r="G25" s="7"/>
      <c r="H25" s="7"/>
      <c r="I25" s="7"/>
      <c r="J25" s="1"/>
      <c r="K25" s="1"/>
    </row>
    <row r="26" spans="1:11" ht="20.25" customHeight="1">
      <c r="A26" s="138" t="s">
        <v>476</v>
      </c>
      <c r="B26" s="138"/>
      <c r="C26" s="138"/>
      <c r="D26" s="138"/>
      <c r="E26" s="138"/>
      <c r="F26" s="138"/>
      <c r="G26" s="138"/>
      <c r="H26" s="138"/>
      <c r="I26" s="138"/>
      <c r="J26" s="1"/>
      <c r="K26" s="1"/>
    </row>
    <row r="27" spans="1:11" ht="12.75" customHeight="1">
      <c r="A27" s="139" t="s">
        <v>368</v>
      </c>
      <c r="B27" s="139"/>
      <c r="C27" s="139"/>
      <c r="D27" s="139"/>
      <c r="E27" s="139"/>
      <c r="F27" s="139"/>
      <c r="G27" s="139"/>
      <c r="H27" s="139"/>
      <c r="I27" s="139"/>
      <c r="J27" s="1"/>
      <c r="K27" s="1"/>
    </row>
    <row r="28" spans="1:11" ht="16.5" customHeight="1">
      <c r="A28" s="4"/>
      <c r="B28" s="4"/>
      <c r="C28" s="4"/>
      <c r="D28" s="4"/>
      <c r="E28" s="4"/>
      <c r="F28" s="4"/>
      <c r="G28" s="4"/>
      <c r="H28" s="4"/>
      <c r="I28" s="25" t="s">
        <v>296</v>
      </c>
      <c r="J28" s="1"/>
      <c r="K28" s="1"/>
    </row>
    <row r="29" spans="1:11" ht="42" customHeight="1">
      <c r="A29" s="140" t="s">
        <v>95</v>
      </c>
      <c r="B29" s="141"/>
      <c r="C29" s="141"/>
      <c r="D29" s="141"/>
      <c r="E29" s="141"/>
      <c r="F29" s="56"/>
      <c r="G29" s="10" t="s">
        <v>115</v>
      </c>
      <c r="H29" s="10" t="s">
        <v>81</v>
      </c>
      <c r="I29" s="10" t="s">
        <v>80</v>
      </c>
      <c r="J29" s="1"/>
      <c r="K29" s="1"/>
    </row>
    <row r="30" spans="1:11" ht="12.75">
      <c r="A30" s="54"/>
      <c r="B30" s="55"/>
      <c r="C30" s="55">
        <v>1</v>
      </c>
      <c r="D30" s="55"/>
      <c r="E30" s="55"/>
      <c r="F30" s="53"/>
      <c r="G30" s="10">
        <v>2</v>
      </c>
      <c r="H30" s="10">
        <v>3</v>
      </c>
      <c r="I30" s="10">
        <v>4</v>
      </c>
      <c r="J30" s="1"/>
      <c r="K30" s="1"/>
    </row>
    <row r="31" spans="1:11" ht="12.75">
      <c r="A31" s="142" t="s">
        <v>116</v>
      </c>
      <c r="B31" s="143"/>
      <c r="C31" s="143"/>
      <c r="D31" s="143"/>
      <c r="E31" s="143"/>
      <c r="F31" s="144"/>
      <c r="G31" s="11"/>
      <c r="H31" s="12"/>
      <c r="I31" s="12"/>
      <c r="J31" s="1"/>
      <c r="K31" s="1"/>
    </row>
    <row r="32" spans="1:11" ht="12.75" customHeight="1">
      <c r="A32" s="115" t="s">
        <v>117</v>
      </c>
      <c r="B32" s="116"/>
      <c r="C32" s="116"/>
      <c r="D32" s="116"/>
      <c r="E32" s="116"/>
      <c r="F32" s="117"/>
      <c r="G32" s="13" t="s">
        <v>1</v>
      </c>
      <c r="H32" s="106">
        <f>13354084.44+474634+16282</f>
        <v>13845000.44</v>
      </c>
      <c r="I32" s="106">
        <f>5979655+1559900+25139</f>
        <v>7564694</v>
      </c>
      <c r="J32" s="1"/>
      <c r="K32" s="1"/>
    </row>
    <row r="33" spans="1:11" ht="30" customHeight="1">
      <c r="A33" s="115" t="s">
        <v>381</v>
      </c>
      <c r="B33" s="116"/>
      <c r="C33" s="116"/>
      <c r="D33" s="116"/>
      <c r="E33" s="116"/>
      <c r="F33" s="117"/>
      <c r="G33" s="13" t="s">
        <v>2</v>
      </c>
      <c r="H33" s="106"/>
      <c r="I33" s="106"/>
      <c r="J33" s="1"/>
      <c r="K33" s="1"/>
    </row>
    <row r="34" spans="1:11" ht="27.75" customHeight="1">
      <c r="A34" s="115" t="s">
        <v>382</v>
      </c>
      <c r="B34" s="116"/>
      <c r="C34" s="116"/>
      <c r="D34" s="116"/>
      <c r="E34" s="116"/>
      <c r="F34" s="117"/>
      <c r="G34" s="13" t="s">
        <v>3</v>
      </c>
      <c r="H34" s="106"/>
      <c r="I34" s="106"/>
      <c r="J34" s="1"/>
      <c r="K34" s="1"/>
    </row>
    <row r="35" spans="1:11" ht="24.75" customHeight="1">
      <c r="A35" s="115" t="s">
        <v>383</v>
      </c>
      <c r="B35" s="116"/>
      <c r="C35" s="116"/>
      <c r="D35" s="116"/>
      <c r="E35" s="116"/>
      <c r="F35" s="117"/>
      <c r="G35" s="13" t="s">
        <v>5</v>
      </c>
      <c r="H35" s="106"/>
      <c r="I35" s="106"/>
      <c r="J35" s="1"/>
      <c r="K35" s="1"/>
    </row>
    <row r="36" spans="1:11" ht="12.75" customHeight="1">
      <c r="A36" s="115" t="s">
        <v>384</v>
      </c>
      <c r="B36" s="116"/>
      <c r="C36" s="116"/>
      <c r="D36" s="116"/>
      <c r="E36" s="116"/>
      <c r="F36" s="117"/>
      <c r="G36" s="13" t="s">
        <v>6</v>
      </c>
      <c r="H36" s="106"/>
      <c r="I36" s="106"/>
      <c r="J36" s="1"/>
      <c r="K36" s="1"/>
    </row>
    <row r="37" spans="1:11" ht="12.75" customHeight="1">
      <c r="A37" s="115" t="s">
        <v>118</v>
      </c>
      <c r="B37" s="116"/>
      <c r="C37" s="116"/>
      <c r="D37" s="116"/>
      <c r="E37" s="116"/>
      <c r="F37" s="117"/>
      <c r="G37" s="13" t="s">
        <v>7</v>
      </c>
      <c r="H37" s="106">
        <f>86583.81-86583.81</f>
        <v>0</v>
      </c>
      <c r="I37" s="106">
        <v>0</v>
      </c>
      <c r="J37" s="1"/>
      <c r="K37" s="1"/>
    </row>
    <row r="38" spans="1:11" ht="12.75" customHeight="1">
      <c r="A38" s="115" t="s">
        <v>119</v>
      </c>
      <c r="B38" s="116"/>
      <c r="C38" s="116"/>
      <c r="D38" s="116"/>
      <c r="E38" s="116"/>
      <c r="F38" s="117"/>
      <c r="G38" s="13" t="s">
        <v>9</v>
      </c>
      <c r="H38" s="106">
        <f>2187494.84+20437+0-J38</f>
        <v>2204979.19</v>
      </c>
      <c r="I38" s="106">
        <f>2165980+72208+0-K38</f>
        <v>2217944</v>
      </c>
      <c r="J38" s="68">
        <f>2700.15+252.5</f>
        <v>2952.65</v>
      </c>
      <c r="K38" s="68">
        <f>14921+5323</f>
        <v>20244</v>
      </c>
    </row>
    <row r="39" spans="1:11" ht="12.75" customHeight="1">
      <c r="A39" s="115" t="s">
        <v>385</v>
      </c>
      <c r="B39" s="116"/>
      <c r="C39" s="116"/>
      <c r="D39" s="116"/>
      <c r="E39" s="116"/>
      <c r="F39" s="117"/>
      <c r="G39" s="13" t="s">
        <v>121</v>
      </c>
      <c r="H39" s="106"/>
      <c r="I39" s="106"/>
      <c r="J39" s="68"/>
      <c r="K39" s="68"/>
    </row>
    <row r="40" spans="1:11" ht="12.75" customHeight="1">
      <c r="A40" s="115" t="s">
        <v>386</v>
      </c>
      <c r="B40" s="116"/>
      <c r="C40" s="116"/>
      <c r="D40" s="116"/>
      <c r="E40" s="116"/>
      <c r="F40" s="117"/>
      <c r="G40" s="13" t="s">
        <v>122</v>
      </c>
      <c r="H40" s="106"/>
      <c r="I40" s="106"/>
      <c r="J40" s="68"/>
      <c r="K40" s="68"/>
    </row>
    <row r="41" spans="1:11" ht="12.75" customHeight="1">
      <c r="A41" s="115" t="s">
        <v>120</v>
      </c>
      <c r="B41" s="116"/>
      <c r="C41" s="116"/>
      <c r="D41" s="116"/>
      <c r="E41" s="116"/>
      <c r="F41" s="117"/>
      <c r="G41" s="13" t="s">
        <v>123</v>
      </c>
      <c r="H41" s="106">
        <v>0</v>
      </c>
      <c r="I41" s="106">
        <v>0</v>
      </c>
      <c r="J41" s="1"/>
      <c r="K41" s="1"/>
    </row>
    <row r="42" spans="1:11" ht="12.75" customHeight="1">
      <c r="A42" s="115" t="s">
        <v>4</v>
      </c>
      <c r="B42" s="116"/>
      <c r="C42" s="116"/>
      <c r="D42" s="116"/>
      <c r="E42" s="116"/>
      <c r="F42" s="117"/>
      <c r="G42" s="13" t="s">
        <v>11</v>
      </c>
      <c r="H42" s="106">
        <f>4216325.65+112952+0</f>
        <v>4329277.65</v>
      </c>
      <c r="I42" s="106">
        <f>7023269+147455+0</f>
        <v>7170724</v>
      </c>
      <c r="J42" s="1"/>
      <c r="K42" s="1"/>
    </row>
    <row r="43" spans="1:11" ht="12.75" customHeight="1">
      <c r="A43" s="115" t="s">
        <v>18</v>
      </c>
      <c r="B43" s="116"/>
      <c r="C43" s="116"/>
      <c r="D43" s="116"/>
      <c r="E43" s="116"/>
      <c r="F43" s="117"/>
      <c r="G43" s="13" t="s">
        <v>12</v>
      </c>
      <c r="H43" s="106"/>
      <c r="I43" s="106"/>
      <c r="J43" s="1"/>
      <c r="K43" s="1"/>
    </row>
    <row r="44" spans="1:11" ht="12.75" customHeight="1">
      <c r="A44" s="115" t="s">
        <v>8</v>
      </c>
      <c r="B44" s="116"/>
      <c r="C44" s="116"/>
      <c r="D44" s="116"/>
      <c r="E44" s="116"/>
      <c r="F44" s="117"/>
      <c r="G44" s="13" t="s">
        <v>14</v>
      </c>
      <c r="H44" s="106">
        <f>10385803+260228+0</f>
        <v>10646031</v>
      </c>
      <c r="I44" s="106">
        <f>11758351+228481+5</f>
        <v>11986837</v>
      </c>
      <c r="J44" s="1"/>
      <c r="K44" s="1"/>
    </row>
    <row r="45" spans="1:11" ht="12.75" customHeight="1">
      <c r="A45" s="124" t="s">
        <v>387</v>
      </c>
      <c r="B45" s="125"/>
      <c r="C45" s="125"/>
      <c r="D45" s="125"/>
      <c r="E45" s="125"/>
      <c r="F45" s="126"/>
      <c r="G45" s="15" t="s">
        <v>10</v>
      </c>
      <c r="H45" s="107">
        <f>SUM(H32:H44)</f>
        <v>31025288.28</v>
      </c>
      <c r="I45" s="107">
        <f>SUM(I32:I44)</f>
        <v>28940199</v>
      </c>
      <c r="J45" s="68">
        <f>30143707+886171+16282-J38</f>
        <v>31043207.35</v>
      </c>
      <c r="K45" s="68">
        <f>H45-J45</f>
        <v>-17919.070000000298</v>
      </c>
    </row>
    <row r="46" spans="1:11" ht="12.75" customHeight="1">
      <c r="A46" s="118" t="s">
        <v>125</v>
      </c>
      <c r="B46" s="119"/>
      <c r="C46" s="119"/>
      <c r="D46" s="119"/>
      <c r="E46" s="119"/>
      <c r="F46" s="120"/>
      <c r="G46" s="15" t="s">
        <v>124</v>
      </c>
      <c r="H46" s="16"/>
      <c r="I46" s="16"/>
      <c r="J46" s="1"/>
      <c r="K46" s="1"/>
    </row>
    <row r="47" spans="1:11" ht="12.75" customHeight="1">
      <c r="A47" s="118" t="s">
        <v>126</v>
      </c>
      <c r="B47" s="119"/>
      <c r="C47" s="119"/>
      <c r="D47" s="119"/>
      <c r="E47" s="119"/>
      <c r="F47" s="120"/>
      <c r="G47" s="13"/>
      <c r="H47" s="12"/>
      <c r="I47" s="12"/>
      <c r="J47" s="1"/>
      <c r="K47" s="1"/>
    </row>
    <row r="48" spans="1:11" ht="30" customHeight="1">
      <c r="A48" s="115" t="s">
        <v>388</v>
      </c>
      <c r="B48" s="116"/>
      <c r="C48" s="116"/>
      <c r="D48" s="116"/>
      <c r="E48" s="116"/>
      <c r="F48" s="117"/>
      <c r="G48" s="13" t="s">
        <v>73</v>
      </c>
      <c r="H48" s="106"/>
      <c r="I48" s="106"/>
      <c r="J48" s="1"/>
      <c r="K48" s="1"/>
    </row>
    <row r="49" spans="1:11" ht="25.5" customHeight="1">
      <c r="A49" s="115" t="s">
        <v>389</v>
      </c>
      <c r="B49" s="116"/>
      <c r="C49" s="116"/>
      <c r="D49" s="116"/>
      <c r="E49" s="116"/>
      <c r="F49" s="117"/>
      <c r="G49" s="13" t="s">
        <v>127</v>
      </c>
      <c r="H49" s="106"/>
      <c r="I49" s="106"/>
      <c r="J49" s="1"/>
      <c r="K49" s="1"/>
    </row>
    <row r="50" spans="1:11" ht="24.75" customHeight="1">
      <c r="A50" s="115" t="s">
        <v>390</v>
      </c>
      <c r="B50" s="116"/>
      <c r="C50" s="116"/>
      <c r="D50" s="116"/>
      <c r="E50" s="116"/>
      <c r="F50" s="117"/>
      <c r="G50" s="13" t="s">
        <v>128</v>
      </c>
      <c r="H50" s="106"/>
      <c r="I50" s="106"/>
      <c r="J50" s="1"/>
      <c r="K50" s="1"/>
    </row>
    <row r="51" spans="1:11" ht="12.75" customHeight="1">
      <c r="A51" s="115" t="s">
        <v>391</v>
      </c>
      <c r="B51" s="116"/>
      <c r="C51" s="116"/>
      <c r="D51" s="116"/>
      <c r="E51" s="116"/>
      <c r="F51" s="117"/>
      <c r="G51" s="13" t="s">
        <v>129</v>
      </c>
      <c r="H51" s="106"/>
      <c r="I51" s="106"/>
      <c r="J51" s="1"/>
      <c r="K51" s="1"/>
    </row>
    <row r="52" spans="1:11" ht="12.75" customHeight="1">
      <c r="A52" s="115" t="s">
        <v>392</v>
      </c>
      <c r="B52" s="116"/>
      <c r="C52" s="116"/>
      <c r="D52" s="116"/>
      <c r="E52" s="116"/>
      <c r="F52" s="117"/>
      <c r="G52" s="13" t="s">
        <v>130</v>
      </c>
      <c r="H52" s="106"/>
      <c r="I52" s="106"/>
      <c r="J52" s="1"/>
      <c r="K52" s="1"/>
    </row>
    <row r="53" spans="1:11" ht="12.75" customHeight="1">
      <c r="A53" s="115" t="s">
        <v>13</v>
      </c>
      <c r="B53" s="116"/>
      <c r="C53" s="116"/>
      <c r="D53" s="116"/>
      <c r="E53" s="116"/>
      <c r="F53" s="117"/>
      <c r="G53" s="13" t="s">
        <v>132</v>
      </c>
      <c r="H53" s="106"/>
      <c r="I53" s="106"/>
      <c r="J53" s="1"/>
      <c r="K53" s="1"/>
    </row>
    <row r="54" spans="1:11" ht="12.75" customHeight="1">
      <c r="A54" s="115" t="s">
        <v>131</v>
      </c>
      <c r="B54" s="116"/>
      <c r="C54" s="116"/>
      <c r="D54" s="116"/>
      <c r="E54" s="116"/>
      <c r="F54" s="117"/>
      <c r="G54" s="13" t="s">
        <v>134</v>
      </c>
      <c r="H54" s="106"/>
      <c r="I54" s="106"/>
      <c r="J54" s="1"/>
      <c r="K54" s="1"/>
    </row>
    <row r="55" spans="1:11" ht="12.75" customHeight="1">
      <c r="A55" s="115" t="s">
        <v>133</v>
      </c>
      <c r="B55" s="116"/>
      <c r="C55" s="116"/>
      <c r="D55" s="116"/>
      <c r="E55" s="116"/>
      <c r="F55" s="117"/>
      <c r="G55" s="13" t="s">
        <v>136</v>
      </c>
      <c r="H55" s="106"/>
      <c r="I55" s="106"/>
      <c r="J55" s="1"/>
      <c r="K55" s="1"/>
    </row>
    <row r="56" spans="1:11" ht="12.75" customHeight="1">
      <c r="A56" s="115" t="s">
        <v>393</v>
      </c>
      <c r="B56" s="116"/>
      <c r="C56" s="116"/>
      <c r="D56" s="116"/>
      <c r="E56" s="116"/>
      <c r="F56" s="117"/>
      <c r="G56" s="13" t="s">
        <v>137</v>
      </c>
      <c r="H56" s="106"/>
      <c r="I56" s="106"/>
      <c r="J56" s="1"/>
      <c r="K56" s="1"/>
    </row>
    <row r="57" spans="1:11" ht="12.75" customHeight="1">
      <c r="A57" s="115" t="s">
        <v>394</v>
      </c>
      <c r="B57" s="116"/>
      <c r="C57" s="116"/>
      <c r="D57" s="116"/>
      <c r="E57" s="116"/>
      <c r="F57" s="117"/>
      <c r="G57" s="13" t="s">
        <v>138</v>
      </c>
      <c r="H57" s="106"/>
      <c r="I57" s="106"/>
      <c r="J57" s="1"/>
      <c r="K57" s="1"/>
    </row>
    <row r="58" spans="1:11" ht="12.75" customHeight="1">
      <c r="A58" s="115" t="s">
        <v>135</v>
      </c>
      <c r="B58" s="116"/>
      <c r="C58" s="116"/>
      <c r="D58" s="116"/>
      <c r="E58" s="116"/>
      <c r="F58" s="117"/>
      <c r="G58" s="13" t="s">
        <v>74</v>
      </c>
      <c r="H58" s="106"/>
      <c r="I58" s="106"/>
      <c r="J58" s="1"/>
      <c r="K58" s="1"/>
    </row>
    <row r="59" spans="1:11" ht="12.75" customHeight="1">
      <c r="A59" s="115" t="s">
        <v>16</v>
      </c>
      <c r="B59" s="116"/>
      <c r="C59" s="116"/>
      <c r="D59" s="116"/>
      <c r="E59" s="116"/>
      <c r="F59" s="117"/>
      <c r="G59" s="13" t="s">
        <v>139</v>
      </c>
      <c r="H59" s="106">
        <f>49518629.05+9158807+353667+26437+0</f>
        <v>59057540.05</v>
      </c>
      <c r="I59" s="106">
        <f>50418474+8761717+361848+26437</f>
        <v>59568476</v>
      </c>
      <c r="J59" s="1"/>
      <c r="K59" s="1"/>
    </row>
    <row r="60" spans="1:11" ht="12.75" customHeight="1">
      <c r="A60" s="115" t="s">
        <v>395</v>
      </c>
      <c r="B60" s="116"/>
      <c r="C60" s="116"/>
      <c r="D60" s="116"/>
      <c r="E60" s="116"/>
      <c r="F60" s="117"/>
      <c r="G60" s="13" t="s">
        <v>140</v>
      </c>
      <c r="H60" s="106"/>
      <c r="I60" s="106"/>
      <c r="J60" s="1"/>
      <c r="K60" s="1"/>
    </row>
    <row r="61" spans="1:11" ht="12.75" customHeight="1">
      <c r="A61" s="115" t="s">
        <v>18</v>
      </c>
      <c r="B61" s="116"/>
      <c r="C61" s="116"/>
      <c r="D61" s="116"/>
      <c r="E61" s="116"/>
      <c r="F61" s="117"/>
      <c r="G61" s="13" t="s">
        <v>141</v>
      </c>
      <c r="H61" s="106"/>
      <c r="I61" s="106"/>
      <c r="J61" s="1"/>
      <c r="K61" s="1"/>
    </row>
    <row r="62" spans="1:11" ht="12.75" customHeight="1">
      <c r="A62" s="133" t="s">
        <v>20</v>
      </c>
      <c r="B62" s="134"/>
      <c r="C62" s="134"/>
      <c r="D62" s="134"/>
      <c r="E62" s="134"/>
      <c r="F62" s="135"/>
      <c r="G62" s="13" t="s">
        <v>396</v>
      </c>
      <c r="H62" s="106"/>
      <c r="I62" s="106"/>
      <c r="J62" s="1"/>
      <c r="K62" s="1"/>
    </row>
    <row r="63" spans="1:11" ht="12.75" customHeight="1">
      <c r="A63" s="133" t="s">
        <v>22</v>
      </c>
      <c r="B63" s="134"/>
      <c r="C63" s="134"/>
      <c r="D63" s="134"/>
      <c r="E63" s="134"/>
      <c r="F63" s="135"/>
      <c r="G63" s="13" t="s">
        <v>397</v>
      </c>
      <c r="H63" s="106">
        <f>119871.1+281006+4599+113</f>
        <v>405589.1</v>
      </c>
      <c r="I63" s="106">
        <f>130742.15+281006+4660+119</f>
        <v>416527.15</v>
      </c>
      <c r="J63" s="1"/>
      <c r="K63" s="1"/>
    </row>
    <row r="64" spans="1:11" ht="12.75" customHeight="1">
      <c r="A64" s="133" t="s">
        <v>24</v>
      </c>
      <c r="B64" s="134"/>
      <c r="C64" s="134"/>
      <c r="D64" s="134"/>
      <c r="E64" s="134"/>
      <c r="F64" s="135"/>
      <c r="G64" s="13" t="s">
        <v>398</v>
      </c>
      <c r="H64" s="106"/>
      <c r="I64" s="106"/>
      <c r="J64" s="1"/>
      <c r="K64" s="1"/>
    </row>
    <row r="65" spans="1:11" ht="12.75" customHeight="1">
      <c r="A65" s="133" t="s">
        <v>25</v>
      </c>
      <c r="B65" s="134"/>
      <c r="C65" s="134"/>
      <c r="D65" s="134"/>
      <c r="E65" s="134"/>
      <c r="F65" s="135"/>
      <c r="G65" s="13" t="s">
        <v>399</v>
      </c>
      <c r="H65" s="106">
        <v>8968</v>
      </c>
      <c r="I65" s="106">
        <v>7632</v>
      </c>
      <c r="J65" s="1"/>
      <c r="K65" s="1"/>
    </row>
    <row r="66" spans="1:11" ht="12.75" customHeight="1">
      <c r="A66" s="118" t="s">
        <v>400</v>
      </c>
      <c r="B66" s="119"/>
      <c r="C66" s="119"/>
      <c r="D66" s="119"/>
      <c r="E66" s="119"/>
      <c r="F66" s="120"/>
      <c r="G66" s="15" t="s">
        <v>26</v>
      </c>
      <c r="H66" s="16">
        <f>SUM(H48:H65)</f>
        <v>59472097.15</v>
      </c>
      <c r="I66" s="16">
        <f>SUM(I48:I65)</f>
        <v>59992635.15</v>
      </c>
      <c r="J66" s="1">
        <f>59190369+384703+113</f>
        <v>59575185</v>
      </c>
      <c r="K66" s="68">
        <f>H66-J66</f>
        <v>-103087.85000000149</v>
      </c>
    </row>
    <row r="67" spans="1:11" ht="12.75" customHeight="1">
      <c r="A67" s="118" t="s">
        <v>142</v>
      </c>
      <c r="B67" s="119"/>
      <c r="C67" s="119"/>
      <c r="D67" s="119"/>
      <c r="E67" s="119"/>
      <c r="F67" s="120"/>
      <c r="G67" s="17"/>
      <c r="H67" s="16">
        <f>H45+H46+H66</f>
        <v>90497385.43</v>
      </c>
      <c r="I67" s="16">
        <f>I45+I46+I66</f>
        <v>88932834.15</v>
      </c>
      <c r="J67" s="68"/>
      <c r="K67" s="68"/>
    </row>
    <row r="68" spans="1:11" ht="12.75" customHeight="1">
      <c r="A68" s="145" t="s">
        <v>143</v>
      </c>
      <c r="B68" s="146"/>
      <c r="C68" s="146"/>
      <c r="D68" s="146"/>
      <c r="E68" s="146"/>
      <c r="F68" s="147"/>
      <c r="G68" s="136"/>
      <c r="H68" s="137"/>
      <c r="I68" s="131"/>
      <c r="J68" s="1"/>
      <c r="K68" s="1"/>
    </row>
    <row r="69" spans="1:11" ht="12.75">
      <c r="A69" s="148"/>
      <c r="B69" s="149"/>
      <c r="C69" s="149"/>
      <c r="D69" s="149"/>
      <c r="E69" s="149"/>
      <c r="F69" s="150"/>
      <c r="G69" s="136"/>
      <c r="H69" s="137"/>
      <c r="I69" s="132"/>
      <c r="J69" s="1"/>
      <c r="K69" s="1"/>
    </row>
    <row r="70" spans="1:11" ht="12.75" customHeight="1">
      <c r="A70" s="118" t="s">
        <v>144</v>
      </c>
      <c r="B70" s="119"/>
      <c r="C70" s="119"/>
      <c r="D70" s="119"/>
      <c r="E70" s="119"/>
      <c r="F70" s="120"/>
      <c r="G70" s="13"/>
      <c r="H70" s="12"/>
      <c r="I70" s="12"/>
      <c r="J70" s="1"/>
      <c r="K70" s="1"/>
    </row>
    <row r="71" spans="1:11" ht="25.5" customHeight="1">
      <c r="A71" s="133" t="s">
        <v>401</v>
      </c>
      <c r="B71" s="134"/>
      <c r="C71" s="134"/>
      <c r="D71" s="134"/>
      <c r="E71" s="134"/>
      <c r="F71" s="135"/>
      <c r="G71" s="13" t="s">
        <v>145</v>
      </c>
      <c r="H71" s="106">
        <v>1109331.36</v>
      </c>
      <c r="I71" s="106"/>
      <c r="J71" s="1"/>
      <c r="K71" s="1"/>
    </row>
    <row r="72" spans="1:11" ht="27.75" customHeight="1">
      <c r="A72" s="115" t="s">
        <v>402</v>
      </c>
      <c r="B72" s="116"/>
      <c r="C72" s="116"/>
      <c r="D72" s="116"/>
      <c r="E72" s="116"/>
      <c r="F72" s="117"/>
      <c r="G72" s="13" t="s">
        <v>146</v>
      </c>
      <c r="H72" s="106"/>
      <c r="I72" s="106"/>
      <c r="J72" s="1"/>
      <c r="K72" s="1"/>
    </row>
    <row r="73" spans="1:11" ht="12.75" customHeight="1">
      <c r="A73" s="115" t="s">
        <v>384</v>
      </c>
      <c r="B73" s="116"/>
      <c r="C73" s="116"/>
      <c r="D73" s="116"/>
      <c r="E73" s="116"/>
      <c r="F73" s="117"/>
      <c r="G73" s="13" t="s">
        <v>148</v>
      </c>
      <c r="H73" s="106"/>
      <c r="I73" s="106"/>
      <c r="J73" s="1"/>
      <c r="K73" s="1"/>
    </row>
    <row r="74" spans="1:11" ht="12.75" customHeight="1">
      <c r="A74" s="115" t="s">
        <v>147</v>
      </c>
      <c r="B74" s="116"/>
      <c r="C74" s="116"/>
      <c r="D74" s="116"/>
      <c r="E74" s="116"/>
      <c r="F74" s="117"/>
      <c r="G74" s="13" t="s">
        <v>150</v>
      </c>
      <c r="H74" s="106"/>
      <c r="I74" s="106"/>
      <c r="J74" s="1"/>
      <c r="K74" s="1"/>
    </row>
    <row r="75" spans="1:11" ht="12.75" customHeight="1">
      <c r="A75" s="115" t="s">
        <v>149</v>
      </c>
      <c r="B75" s="116"/>
      <c r="C75" s="116"/>
      <c r="D75" s="116"/>
      <c r="E75" s="116"/>
      <c r="F75" s="117"/>
      <c r="G75" s="13" t="s">
        <v>151</v>
      </c>
      <c r="H75" s="106">
        <f>1738558.94+40838+0-J75</f>
        <v>1776444.29</v>
      </c>
      <c r="I75" s="106">
        <f>3508473.75+48108+0-K75</f>
        <v>3536337.75</v>
      </c>
      <c r="J75" s="68">
        <f>2700.15+252.5</f>
        <v>2952.65</v>
      </c>
      <c r="K75" s="68">
        <f>14921+5323</f>
        <v>20244</v>
      </c>
    </row>
    <row r="76" spans="1:11" ht="12.75" customHeight="1">
      <c r="A76" s="115" t="s">
        <v>403</v>
      </c>
      <c r="B76" s="116"/>
      <c r="C76" s="116"/>
      <c r="D76" s="116"/>
      <c r="E76" s="116"/>
      <c r="F76" s="117"/>
      <c r="G76" s="13" t="s">
        <v>153</v>
      </c>
      <c r="H76" s="106"/>
      <c r="I76" s="106"/>
      <c r="J76" s="68"/>
      <c r="K76" s="68"/>
    </row>
    <row r="77" spans="1:11" ht="12.75" customHeight="1">
      <c r="A77" s="133" t="s">
        <v>152</v>
      </c>
      <c r="B77" s="134"/>
      <c r="C77" s="134"/>
      <c r="D77" s="134"/>
      <c r="E77" s="134"/>
      <c r="F77" s="135"/>
      <c r="G77" s="13" t="s">
        <v>155</v>
      </c>
      <c r="H77" s="106">
        <f>74817-17920</f>
        <v>56897</v>
      </c>
      <c r="I77" s="106">
        <f>74857.75-41.06-17920+4214</f>
        <v>61110.69</v>
      </c>
      <c r="J77" s="68"/>
      <c r="K77" s="68"/>
    </row>
    <row r="78" spans="1:11" ht="12.75" customHeight="1">
      <c r="A78" s="133" t="s">
        <v>154</v>
      </c>
      <c r="B78" s="134"/>
      <c r="C78" s="134"/>
      <c r="D78" s="134"/>
      <c r="E78" s="134"/>
      <c r="F78" s="135"/>
      <c r="G78" s="13" t="s">
        <v>156</v>
      </c>
      <c r="H78" s="106"/>
      <c r="I78" s="106"/>
      <c r="J78" s="1"/>
      <c r="K78" s="1"/>
    </row>
    <row r="79" spans="1:11" ht="12.75" customHeight="1">
      <c r="A79" s="133" t="s">
        <v>409</v>
      </c>
      <c r="B79" s="134"/>
      <c r="C79" s="134"/>
      <c r="D79" s="134"/>
      <c r="E79" s="134"/>
      <c r="F79" s="135"/>
      <c r="G79" s="13" t="s">
        <v>404</v>
      </c>
      <c r="H79" s="106"/>
      <c r="I79" s="106"/>
      <c r="J79" s="1"/>
      <c r="K79" s="1"/>
    </row>
    <row r="80" spans="1:11" ht="12.75" customHeight="1">
      <c r="A80" s="133" t="s">
        <v>410</v>
      </c>
      <c r="B80" s="134"/>
      <c r="C80" s="134"/>
      <c r="D80" s="134"/>
      <c r="E80" s="134"/>
      <c r="F80" s="135"/>
      <c r="G80" s="13" t="s">
        <v>405</v>
      </c>
      <c r="H80" s="106"/>
      <c r="I80" s="106"/>
      <c r="J80" s="1"/>
      <c r="K80" s="1"/>
    </row>
    <row r="81" spans="1:11" ht="12.75" customHeight="1">
      <c r="A81" s="133" t="s">
        <v>411</v>
      </c>
      <c r="B81" s="134"/>
      <c r="C81" s="134"/>
      <c r="D81" s="134"/>
      <c r="E81" s="134"/>
      <c r="F81" s="135"/>
      <c r="G81" s="13" t="s">
        <v>406</v>
      </c>
      <c r="H81" s="106"/>
      <c r="I81" s="106"/>
      <c r="J81" s="1"/>
      <c r="K81" s="1"/>
    </row>
    <row r="82" spans="1:11" ht="12.75" customHeight="1">
      <c r="A82" s="133" t="s">
        <v>412</v>
      </c>
      <c r="B82" s="134"/>
      <c r="C82" s="134"/>
      <c r="D82" s="134"/>
      <c r="E82" s="134"/>
      <c r="F82" s="135"/>
      <c r="G82" s="13" t="s">
        <v>407</v>
      </c>
      <c r="H82" s="106"/>
      <c r="I82" s="106"/>
      <c r="J82" s="1"/>
      <c r="K82" s="1"/>
    </row>
    <row r="83" spans="1:11" ht="12.75" customHeight="1">
      <c r="A83" s="133" t="s">
        <v>27</v>
      </c>
      <c r="B83" s="134"/>
      <c r="C83" s="134"/>
      <c r="D83" s="134"/>
      <c r="E83" s="134"/>
      <c r="F83" s="135"/>
      <c r="G83" s="13" t="s">
        <v>408</v>
      </c>
      <c r="H83" s="106">
        <f>1582415.1+353419+484018+43197+285455+0+5136820</f>
        <v>7885324.1</v>
      </c>
      <c r="I83" s="106">
        <f>1373682.12+426844+182669+4223+468426.7+40610+3+6792167.5</f>
        <v>9288625.32</v>
      </c>
      <c r="J83" s="1"/>
      <c r="K83" s="1"/>
    </row>
    <row r="84" spans="1:11" ht="12.75" customHeight="1">
      <c r="A84" s="118" t="s">
        <v>157</v>
      </c>
      <c r="B84" s="119"/>
      <c r="C84" s="119"/>
      <c r="D84" s="119"/>
      <c r="E84" s="119"/>
      <c r="F84" s="120"/>
      <c r="G84" s="15" t="s">
        <v>28</v>
      </c>
      <c r="H84" s="107">
        <f>SUM(H71:H83)</f>
        <v>10827996.75</v>
      </c>
      <c r="I84" s="107">
        <f>SUM(I71:I83)</f>
        <v>12886073.76</v>
      </c>
      <c r="J84" s="68">
        <f>5342559+369490+0</f>
        <v>5712049</v>
      </c>
      <c r="K84" s="68">
        <f>H84-J84</f>
        <v>5115947.75</v>
      </c>
    </row>
    <row r="85" spans="1:11" ht="24.75" customHeight="1">
      <c r="A85" s="118" t="s">
        <v>159</v>
      </c>
      <c r="B85" s="119"/>
      <c r="C85" s="119"/>
      <c r="D85" s="119"/>
      <c r="E85" s="119"/>
      <c r="F85" s="120"/>
      <c r="G85" s="15" t="s">
        <v>158</v>
      </c>
      <c r="H85" s="16"/>
      <c r="I85" s="16"/>
      <c r="J85" s="1"/>
      <c r="K85" s="1"/>
    </row>
    <row r="86" spans="1:11" ht="12.75" customHeight="1">
      <c r="A86" s="118" t="s">
        <v>160</v>
      </c>
      <c r="B86" s="119"/>
      <c r="C86" s="119"/>
      <c r="D86" s="119"/>
      <c r="E86" s="119"/>
      <c r="F86" s="120"/>
      <c r="G86" s="15"/>
      <c r="H86" s="12"/>
      <c r="I86" s="12"/>
      <c r="J86" s="1"/>
      <c r="K86" s="1"/>
    </row>
    <row r="87" spans="1:11" ht="25.5" customHeight="1">
      <c r="A87" s="133" t="s">
        <v>413</v>
      </c>
      <c r="B87" s="134"/>
      <c r="C87" s="134"/>
      <c r="D87" s="134"/>
      <c r="E87" s="134"/>
      <c r="F87" s="135"/>
      <c r="G87" s="13" t="s">
        <v>161</v>
      </c>
      <c r="H87" s="106">
        <f>2597853.36+0+0</f>
        <v>2597853.36</v>
      </c>
      <c r="I87" s="106">
        <f>3461751.76+0+0</f>
        <v>3461751.76</v>
      </c>
      <c r="J87" s="1"/>
      <c r="K87" s="1"/>
    </row>
    <row r="88" spans="1:11" ht="24.75" customHeight="1">
      <c r="A88" s="133" t="s">
        <v>414</v>
      </c>
      <c r="B88" s="134"/>
      <c r="C88" s="134"/>
      <c r="D88" s="134"/>
      <c r="E88" s="134"/>
      <c r="F88" s="135"/>
      <c r="G88" s="13" t="s">
        <v>162</v>
      </c>
      <c r="H88" s="106"/>
      <c r="I88" s="106"/>
      <c r="J88" s="1"/>
      <c r="K88" s="1"/>
    </row>
    <row r="89" spans="1:11" ht="12.75" customHeight="1">
      <c r="A89" s="115" t="s">
        <v>391</v>
      </c>
      <c r="B89" s="116"/>
      <c r="C89" s="116"/>
      <c r="D89" s="116"/>
      <c r="E89" s="116"/>
      <c r="F89" s="117"/>
      <c r="G89" s="13" t="s">
        <v>164</v>
      </c>
      <c r="H89" s="106"/>
      <c r="I89" s="106"/>
      <c r="J89" s="1"/>
      <c r="K89" s="1"/>
    </row>
    <row r="90" spans="1:11" ht="12.75" customHeight="1">
      <c r="A90" s="115" t="s">
        <v>163</v>
      </c>
      <c r="B90" s="116"/>
      <c r="C90" s="116"/>
      <c r="D90" s="116"/>
      <c r="E90" s="116"/>
      <c r="F90" s="117"/>
      <c r="G90" s="13" t="s">
        <v>166</v>
      </c>
      <c r="H90" s="106"/>
      <c r="I90" s="106"/>
      <c r="J90" s="1"/>
      <c r="K90" s="1"/>
    </row>
    <row r="91" spans="1:11" ht="12.75" customHeight="1">
      <c r="A91" s="115" t="s">
        <v>165</v>
      </c>
      <c r="B91" s="116"/>
      <c r="C91" s="116"/>
      <c r="D91" s="116"/>
      <c r="E91" s="116"/>
      <c r="F91" s="117"/>
      <c r="G91" s="13" t="s">
        <v>167</v>
      </c>
      <c r="H91" s="106"/>
      <c r="I91" s="106"/>
      <c r="J91" s="1"/>
      <c r="K91" s="1"/>
    </row>
    <row r="92" spans="1:11" ht="12.75" customHeight="1">
      <c r="A92" s="115" t="s">
        <v>415</v>
      </c>
      <c r="B92" s="116"/>
      <c r="C92" s="116"/>
      <c r="D92" s="116"/>
      <c r="E92" s="116"/>
      <c r="F92" s="117"/>
      <c r="G92" s="13" t="s">
        <v>168</v>
      </c>
      <c r="H92" s="106">
        <f>214626.36+0+0</f>
        <v>214626.36</v>
      </c>
      <c r="I92" s="106">
        <f>182610.38+0+0</f>
        <v>182610.38</v>
      </c>
      <c r="J92" s="1"/>
      <c r="K92" s="1"/>
    </row>
    <row r="93" spans="1:11" ht="12.75" customHeight="1">
      <c r="A93" s="133" t="s">
        <v>32</v>
      </c>
      <c r="B93" s="134"/>
      <c r="C93" s="134"/>
      <c r="D93" s="134"/>
      <c r="E93" s="134"/>
      <c r="F93" s="135"/>
      <c r="G93" s="13" t="s">
        <v>169</v>
      </c>
      <c r="H93" s="106"/>
      <c r="I93" s="106"/>
      <c r="J93" s="1"/>
      <c r="K93" s="1"/>
    </row>
    <row r="94" spans="1:11" ht="12.75" customHeight="1">
      <c r="A94" s="133" t="s">
        <v>154</v>
      </c>
      <c r="B94" s="134"/>
      <c r="C94" s="134"/>
      <c r="D94" s="134"/>
      <c r="E94" s="134"/>
      <c r="F94" s="135"/>
      <c r="G94" s="13" t="s">
        <v>416</v>
      </c>
      <c r="H94" s="106"/>
      <c r="I94" s="106"/>
      <c r="J94" s="1"/>
      <c r="K94" s="1"/>
    </row>
    <row r="95" spans="1:11" ht="12.75" customHeight="1">
      <c r="A95" s="133" t="s">
        <v>421</v>
      </c>
      <c r="B95" s="134"/>
      <c r="C95" s="134"/>
      <c r="D95" s="134"/>
      <c r="E95" s="134"/>
      <c r="F95" s="135"/>
      <c r="G95" s="13" t="s">
        <v>417</v>
      </c>
      <c r="H95" s="106"/>
      <c r="I95" s="106"/>
      <c r="J95" s="1"/>
      <c r="K95" s="1"/>
    </row>
    <row r="96" spans="1:11" ht="12.75" customHeight="1">
      <c r="A96" s="133" t="s">
        <v>422</v>
      </c>
      <c r="B96" s="134"/>
      <c r="C96" s="134"/>
      <c r="D96" s="134"/>
      <c r="E96" s="134"/>
      <c r="F96" s="135"/>
      <c r="G96" s="13" t="s">
        <v>418</v>
      </c>
      <c r="H96" s="106"/>
      <c r="I96" s="106"/>
      <c r="J96" s="1"/>
      <c r="K96" s="1"/>
    </row>
    <row r="97" spans="1:11" ht="12.75" customHeight="1">
      <c r="A97" s="133" t="s">
        <v>411</v>
      </c>
      <c r="B97" s="134"/>
      <c r="C97" s="134"/>
      <c r="D97" s="134"/>
      <c r="E97" s="134"/>
      <c r="F97" s="135"/>
      <c r="G97" s="13" t="s">
        <v>419</v>
      </c>
      <c r="H97" s="106"/>
      <c r="I97" s="106"/>
      <c r="J97" s="1"/>
      <c r="K97" s="1"/>
    </row>
    <row r="98" spans="1:11" ht="12.75">
      <c r="A98" s="121" t="s">
        <v>34</v>
      </c>
      <c r="B98" s="122"/>
      <c r="C98" s="122"/>
      <c r="D98" s="122"/>
      <c r="E98" s="122"/>
      <c r="F98" s="123"/>
      <c r="G98" s="13" t="s">
        <v>420</v>
      </c>
      <c r="H98" s="106"/>
      <c r="I98" s="106"/>
      <c r="J98" s="1"/>
      <c r="K98" s="1"/>
    </row>
    <row r="99" spans="1:11" ht="12.75">
      <c r="A99" s="128" t="s">
        <v>170</v>
      </c>
      <c r="B99" s="129"/>
      <c r="C99" s="129"/>
      <c r="D99" s="129"/>
      <c r="E99" s="129"/>
      <c r="F99" s="130"/>
      <c r="G99" s="15" t="s">
        <v>36</v>
      </c>
      <c r="H99" s="16">
        <f>SUM(H87:H98)</f>
        <v>2812479.7199999997</v>
      </c>
      <c r="I99" s="16">
        <f>SUM(I87:I98)</f>
        <v>3644362.1399999997</v>
      </c>
      <c r="J99" s="1">
        <f>2812480+0+0</f>
        <v>2812480</v>
      </c>
      <c r="K99" s="1"/>
    </row>
    <row r="100" spans="1:11" ht="12.75">
      <c r="A100" s="128" t="s">
        <v>37</v>
      </c>
      <c r="B100" s="129"/>
      <c r="C100" s="129"/>
      <c r="D100" s="129"/>
      <c r="E100" s="129"/>
      <c r="F100" s="130"/>
      <c r="G100" s="13"/>
      <c r="H100" s="12"/>
      <c r="I100" s="12"/>
      <c r="J100" s="1"/>
      <c r="K100" s="1"/>
    </row>
    <row r="101" spans="1:11" ht="12.75">
      <c r="A101" s="121" t="s">
        <v>171</v>
      </c>
      <c r="B101" s="122"/>
      <c r="C101" s="122"/>
      <c r="D101" s="122"/>
      <c r="E101" s="122"/>
      <c r="F101" s="123"/>
      <c r="G101" s="13" t="s">
        <v>172</v>
      </c>
      <c r="H101" s="106">
        <v>78414.3</v>
      </c>
      <c r="I101" s="106">
        <v>78414.3</v>
      </c>
      <c r="J101" s="1"/>
      <c r="K101" s="1"/>
    </row>
    <row r="102" spans="1:11" ht="12.75">
      <c r="A102" s="121" t="s">
        <v>39</v>
      </c>
      <c r="B102" s="122"/>
      <c r="C102" s="122"/>
      <c r="D102" s="122"/>
      <c r="E102" s="122"/>
      <c r="F102" s="123"/>
      <c r="G102" s="13" t="s">
        <v>173</v>
      </c>
      <c r="H102" s="106"/>
      <c r="I102" s="106"/>
      <c r="J102" s="1"/>
      <c r="K102" s="1"/>
    </row>
    <row r="103" spans="1:11" ht="12.75">
      <c r="A103" s="121" t="s">
        <v>41</v>
      </c>
      <c r="B103" s="122"/>
      <c r="C103" s="122"/>
      <c r="D103" s="122"/>
      <c r="E103" s="122"/>
      <c r="F103" s="123"/>
      <c r="G103" s="13" t="s">
        <v>174</v>
      </c>
      <c r="H103" s="106"/>
      <c r="I103" s="106"/>
      <c r="J103" s="1"/>
      <c r="K103" s="1"/>
    </row>
    <row r="104" spans="1:11" ht="12.75">
      <c r="A104" s="121" t="s">
        <v>423</v>
      </c>
      <c r="B104" s="122"/>
      <c r="C104" s="122"/>
      <c r="D104" s="122"/>
      <c r="E104" s="122"/>
      <c r="F104" s="123"/>
      <c r="G104" s="13" t="s">
        <v>175</v>
      </c>
      <c r="H104" s="106">
        <f>7794964.55+439861+6373997</f>
        <v>14608822.55</v>
      </c>
      <c r="I104" s="106">
        <f>7983840.95+439861+0+6373997</f>
        <v>14797698.95</v>
      </c>
      <c r="J104" s="1"/>
      <c r="K104" s="1"/>
    </row>
    <row r="105" spans="1:11" ht="13.5">
      <c r="A105" s="121" t="s">
        <v>176</v>
      </c>
      <c r="B105" s="122"/>
      <c r="C105" s="122"/>
      <c r="D105" s="122"/>
      <c r="E105" s="122"/>
      <c r="F105" s="123"/>
      <c r="G105" s="13" t="s">
        <v>177</v>
      </c>
      <c r="H105" s="106">
        <f>73305658.77-103088+585+460938+253+16142-11510817</f>
        <v>62169671.769999996</v>
      </c>
      <c r="I105" s="106">
        <f>69070559.64-102594+585+1707076+16823-13166165</f>
        <v>57526284.64</v>
      </c>
      <c r="J105" s="18"/>
      <c r="K105" s="1"/>
    </row>
    <row r="106" spans="1:11" ht="13.5">
      <c r="A106" s="121" t="s">
        <v>424</v>
      </c>
      <c r="B106" s="122"/>
      <c r="C106" s="122"/>
      <c r="D106" s="122"/>
      <c r="E106" s="122"/>
      <c r="F106" s="123"/>
      <c r="G106" s="13" t="s">
        <v>198</v>
      </c>
      <c r="H106" s="106"/>
      <c r="I106" s="106"/>
      <c r="J106" s="18"/>
      <c r="K106" s="1"/>
    </row>
    <row r="107" spans="1:11" ht="26.25" customHeight="1">
      <c r="A107" s="118" t="s">
        <v>178</v>
      </c>
      <c r="B107" s="119"/>
      <c r="C107" s="119"/>
      <c r="D107" s="119"/>
      <c r="E107" s="119"/>
      <c r="F107" s="120"/>
      <c r="G107" s="15" t="s">
        <v>180</v>
      </c>
      <c r="H107" s="103">
        <f>SUM(H101:H105)</f>
        <v>76856908.62</v>
      </c>
      <c r="I107" s="103">
        <f>SUM(I101:I105)</f>
        <v>72402397.89</v>
      </c>
      <c r="J107" s="18"/>
      <c r="K107" s="1"/>
    </row>
    <row r="108" spans="1:11" ht="13.5" customHeight="1">
      <c r="A108" s="121" t="s">
        <v>179</v>
      </c>
      <c r="B108" s="122"/>
      <c r="C108" s="122"/>
      <c r="D108" s="122"/>
      <c r="E108" s="122"/>
      <c r="F108" s="123"/>
      <c r="G108" s="13" t="s">
        <v>181</v>
      </c>
      <c r="H108" s="102"/>
      <c r="I108" s="102"/>
      <c r="J108" s="18"/>
      <c r="K108" s="1"/>
    </row>
    <row r="109" spans="1:11" ht="12.75" customHeight="1">
      <c r="A109" s="128" t="s">
        <v>182</v>
      </c>
      <c r="B109" s="129"/>
      <c r="C109" s="129"/>
      <c r="D109" s="129"/>
      <c r="E109" s="129"/>
      <c r="F109" s="130"/>
      <c r="G109" s="15" t="s">
        <v>44</v>
      </c>
      <c r="H109" s="16">
        <f>SUM(H107:H108)</f>
        <v>76856908.62</v>
      </c>
      <c r="I109" s="16">
        <f>SUM(I107:I108)</f>
        <v>72402397.89</v>
      </c>
      <c r="J109" s="1">
        <f>81179038+901384+16395</f>
        <v>82096817</v>
      </c>
      <c r="K109" s="68">
        <f>H109-J109</f>
        <v>-5239908.379999995</v>
      </c>
    </row>
    <row r="110" spans="1:11" ht="12.75">
      <c r="A110" s="128" t="s">
        <v>183</v>
      </c>
      <c r="B110" s="129"/>
      <c r="C110" s="129"/>
      <c r="D110" s="129"/>
      <c r="E110" s="129"/>
      <c r="F110" s="130"/>
      <c r="G110" s="19"/>
      <c r="H110" s="16">
        <f>H84+H85+H99+H109</f>
        <v>90497385.09</v>
      </c>
      <c r="I110" s="16">
        <f>I84+I85+I99+I109</f>
        <v>88932833.78999999</v>
      </c>
      <c r="J110" s="68"/>
      <c r="K110" s="68"/>
    </row>
    <row r="111" spans="1:10" ht="15" customHeight="1">
      <c r="A111" s="128" t="s">
        <v>469</v>
      </c>
      <c r="B111" s="129"/>
      <c r="C111" s="129"/>
      <c r="D111" s="129"/>
      <c r="E111" s="129"/>
      <c r="F111" s="130"/>
      <c r="G111" s="19"/>
      <c r="H111" s="109">
        <f>(H67-H63-H84-H99)/H101*1000</f>
        <v>974966.554059655</v>
      </c>
      <c r="I111" s="109">
        <f>(I67-I63-I84-I99)/I101*1000</f>
        <v>918019.68646025</v>
      </c>
      <c r="J111" s="110">
        <f>H67-H63-H84-H99</f>
        <v>76451319.86000001</v>
      </c>
    </row>
    <row r="112" spans="1:11" ht="23.25" customHeight="1">
      <c r="A112" s="7"/>
      <c r="B112" s="7"/>
      <c r="C112" s="7"/>
      <c r="D112" s="7"/>
      <c r="E112" s="7"/>
      <c r="F112" s="7"/>
      <c r="G112" s="7"/>
      <c r="H112" s="7"/>
      <c r="I112" s="4"/>
      <c r="J112" s="1"/>
      <c r="K112" s="1"/>
    </row>
    <row r="113" spans="1:11" ht="20.25" customHeight="1">
      <c r="A113" s="5" t="s">
        <v>96</v>
      </c>
      <c r="B113" s="5"/>
      <c r="C113" s="5" t="s">
        <v>301</v>
      </c>
      <c r="D113" s="5"/>
      <c r="E113" s="5"/>
      <c r="F113" s="5"/>
      <c r="G113" s="5" t="s">
        <v>97</v>
      </c>
      <c r="H113" s="5"/>
      <c r="I113" s="4"/>
      <c r="J113" s="1"/>
      <c r="K113" s="1"/>
    </row>
    <row r="114" spans="1:11" ht="12.75">
      <c r="A114" s="7"/>
      <c r="B114" s="7" t="s">
        <v>98</v>
      </c>
      <c r="C114" s="7"/>
      <c r="D114" s="7"/>
      <c r="E114" s="7"/>
      <c r="F114" s="7"/>
      <c r="G114" s="127" t="s">
        <v>82</v>
      </c>
      <c r="H114" s="127"/>
      <c r="I114" s="4"/>
      <c r="J114" s="1"/>
      <c r="K114" s="1"/>
    </row>
    <row r="115" spans="1:11" ht="22.5" customHeight="1">
      <c r="A115" s="5" t="s">
        <v>99</v>
      </c>
      <c r="B115" s="5"/>
      <c r="C115" s="5" t="s">
        <v>100</v>
      </c>
      <c r="D115" s="5"/>
      <c r="E115" s="5"/>
      <c r="F115" s="5"/>
      <c r="G115" s="5" t="s">
        <v>97</v>
      </c>
      <c r="H115" s="5"/>
      <c r="I115" s="4"/>
      <c r="J115" s="1"/>
      <c r="K115" s="1"/>
    </row>
    <row r="116" spans="1:11" ht="12.75">
      <c r="A116" s="4"/>
      <c r="B116" s="4" t="s">
        <v>98</v>
      </c>
      <c r="C116" s="4"/>
      <c r="D116" s="4"/>
      <c r="E116" s="4"/>
      <c r="F116" s="4"/>
      <c r="G116" s="127" t="s">
        <v>82</v>
      </c>
      <c r="H116" s="127"/>
      <c r="I116" s="4"/>
      <c r="J116" s="1"/>
      <c r="K116" s="1"/>
    </row>
    <row r="117" spans="1:11" ht="22.5" customHeight="1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</row>
    <row r="118" spans="1:11" ht="12.75">
      <c r="A118" s="4" t="s">
        <v>101</v>
      </c>
      <c r="B118" s="4"/>
      <c r="C118" s="4"/>
      <c r="D118" s="4"/>
      <c r="E118" s="4"/>
      <c r="F118" s="4"/>
      <c r="G118" s="4"/>
      <c r="H118" s="4"/>
      <c r="I118" s="4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26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</sheetData>
  <sheetProtection/>
  <mergeCells count="88">
    <mergeCell ref="A88:F88"/>
    <mergeCell ref="A94:F94"/>
    <mergeCell ref="A95:F95"/>
    <mergeCell ref="A96:F96"/>
    <mergeCell ref="A97:F97"/>
    <mergeCell ref="A106:F106"/>
    <mergeCell ref="A105:F105"/>
    <mergeCell ref="A99:F99"/>
    <mergeCell ref="A100:F100"/>
    <mergeCell ref="A101:F101"/>
    <mergeCell ref="A61:F61"/>
    <mergeCell ref="A73:F73"/>
    <mergeCell ref="A79:F79"/>
    <mergeCell ref="A80:F80"/>
    <mergeCell ref="A81:F81"/>
    <mergeCell ref="A82:F82"/>
    <mergeCell ref="A76:F76"/>
    <mergeCell ref="A75:F75"/>
    <mergeCell ref="A68:F69"/>
    <mergeCell ref="A39:F39"/>
    <mergeCell ref="A40:F40"/>
    <mergeCell ref="A43:F43"/>
    <mergeCell ref="A52:F52"/>
    <mergeCell ref="A53:F53"/>
    <mergeCell ref="A56:F56"/>
    <mergeCell ref="A47:F47"/>
    <mergeCell ref="A46:F46"/>
    <mergeCell ref="A50:F50"/>
    <mergeCell ref="A87:F87"/>
    <mergeCell ref="A85:F85"/>
    <mergeCell ref="A78:F78"/>
    <mergeCell ref="A83:F83"/>
    <mergeCell ref="A84:F84"/>
    <mergeCell ref="A31:F31"/>
    <mergeCell ref="A32:F32"/>
    <mergeCell ref="A33:F33"/>
    <mergeCell ref="A77:F77"/>
    <mergeCell ref="A74:F74"/>
    <mergeCell ref="A29:E29"/>
    <mergeCell ref="A34:F34"/>
    <mergeCell ref="A35:F35"/>
    <mergeCell ref="A37:F37"/>
    <mergeCell ref="A65:F65"/>
    <mergeCell ref="A66:F66"/>
    <mergeCell ref="A48:F48"/>
    <mergeCell ref="A49:F49"/>
    <mergeCell ref="A64:F64"/>
    <mergeCell ref="A63:F63"/>
    <mergeCell ref="H68:H69"/>
    <mergeCell ref="A51:F51"/>
    <mergeCell ref="A60:F60"/>
    <mergeCell ref="A26:I26"/>
    <mergeCell ref="A27:I27"/>
    <mergeCell ref="A54:F54"/>
    <mergeCell ref="A67:F67"/>
    <mergeCell ref="A55:F55"/>
    <mergeCell ref="A36:F36"/>
    <mergeCell ref="A62:F62"/>
    <mergeCell ref="I68:I69"/>
    <mergeCell ref="A93:F93"/>
    <mergeCell ref="A98:F98"/>
    <mergeCell ref="A70:F70"/>
    <mergeCell ref="A71:F71"/>
    <mergeCell ref="A86:F86"/>
    <mergeCell ref="A91:F91"/>
    <mergeCell ref="A92:F92"/>
    <mergeCell ref="A72:F72"/>
    <mergeCell ref="G68:G69"/>
    <mergeCell ref="A102:F102"/>
    <mergeCell ref="A103:F103"/>
    <mergeCell ref="A104:F104"/>
    <mergeCell ref="A89:F89"/>
    <mergeCell ref="A90:F90"/>
    <mergeCell ref="G116:H116"/>
    <mergeCell ref="A109:F109"/>
    <mergeCell ref="A110:F110"/>
    <mergeCell ref="G114:H114"/>
    <mergeCell ref="A111:F111"/>
    <mergeCell ref="A38:F38"/>
    <mergeCell ref="A41:F41"/>
    <mergeCell ref="A42:F42"/>
    <mergeCell ref="A44:F44"/>
    <mergeCell ref="A107:F107"/>
    <mergeCell ref="A108:F108"/>
    <mergeCell ref="A45:F45"/>
    <mergeCell ref="A57:F57"/>
    <mergeCell ref="A58:F58"/>
    <mergeCell ref="A59:F59"/>
  </mergeCells>
  <hyperlinks>
    <hyperlink ref="I2" r:id="rId1" display="sub0"/>
  </hyperlinks>
  <printOptions/>
  <pageMargins left="0.6299212598425197" right="0" top="0.5905511811023623" bottom="0.5905511811023623" header="0.1968503937007874" footer="0.1968503937007874"/>
  <pageSetup horizontalDpi="600" verticalDpi="600" orientation="portrait" paperSize="9" scale="84" r:id="rId4"/>
  <headerFooter alignWithMargins="0">
    <oddHeader>&amp;RФорма 1</oddHeader>
  </headerFooter>
  <rowBreaks count="1" manualBreakCount="1">
    <brk id="62" max="255" man="1"/>
  </rowBreaks>
  <colBreaks count="1" manualBreakCount="1">
    <brk id="9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9">
      <selection activeCell="I20" sqref="I20"/>
    </sheetView>
  </sheetViews>
  <sheetFormatPr defaultColWidth="9.00390625" defaultRowHeight="12.75"/>
  <cols>
    <col min="1" max="5" width="9.125" style="2" customWidth="1"/>
    <col min="6" max="6" width="4.75390625" style="2" customWidth="1"/>
    <col min="7" max="7" width="10.25390625" style="2" customWidth="1"/>
    <col min="8" max="8" width="15.25390625" style="32" customWidth="1"/>
    <col min="9" max="9" width="14.875" style="32" customWidth="1"/>
    <col min="10" max="16384" width="9.125" style="2" customWidth="1"/>
  </cols>
  <sheetData>
    <row r="1" ht="12.75">
      <c r="I1" s="94" t="s">
        <v>85</v>
      </c>
    </row>
    <row r="2" ht="12.75">
      <c r="I2" s="95" t="s">
        <v>373</v>
      </c>
    </row>
    <row r="3" ht="12.75">
      <c r="I3" s="94" t="s">
        <v>374</v>
      </c>
    </row>
    <row r="4" ht="12.75">
      <c r="I4" s="94" t="s">
        <v>375</v>
      </c>
    </row>
    <row r="5" ht="12.75">
      <c r="I5" s="94" t="s">
        <v>376</v>
      </c>
    </row>
    <row r="6" ht="12.75">
      <c r="I6" s="94" t="s">
        <v>377</v>
      </c>
    </row>
    <row r="7" ht="12.75">
      <c r="I7" s="94" t="s">
        <v>378</v>
      </c>
    </row>
    <row r="8" ht="12.75">
      <c r="I8" s="94" t="s">
        <v>379</v>
      </c>
    </row>
    <row r="9" ht="12.75">
      <c r="I9" s="94"/>
    </row>
    <row r="10" ht="12.75">
      <c r="I10" s="94" t="s">
        <v>102</v>
      </c>
    </row>
    <row r="11" spans="1:10" s="24" customFormat="1" ht="12.75">
      <c r="A11" s="20"/>
      <c r="B11" s="21"/>
      <c r="C11" s="22"/>
      <c r="D11" s="21"/>
      <c r="E11" s="21"/>
      <c r="F11" s="21"/>
      <c r="G11" s="21"/>
      <c r="H11" s="22"/>
      <c r="I11" s="94" t="s">
        <v>380</v>
      </c>
      <c r="J11" s="23"/>
    </row>
    <row r="12" spans="1:10" s="24" customFormat="1" ht="12.75">
      <c r="A12" s="20"/>
      <c r="B12" s="21"/>
      <c r="C12" s="22"/>
      <c r="D12" s="21"/>
      <c r="E12" s="21"/>
      <c r="F12" s="21"/>
      <c r="G12" s="21"/>
      <c r="H12" s="22"/>
      <c r="I12" s="94" t="s">
        <v>378</v>
      </c>
      <c r="J12" s="23"/>
    </row>
    <row r="13" spans="1:10" s="24" customFormat="1" ht="12.75">
      <c r="A13" s="20"/>
      <c r="B13" s="21"/>
      <c r="C13" s="22"/>
      <c r="D13" s="21"/>
      <c r="E13" s="21"/>
      <c r="F13" s="21"/>
      <c r="G13" s="21"/>
      <c r="H13" s="22"/>
      <c r="I13" s="94" t="s">
        <v>302</v>
      </c>
      <c r="J13" s="23"/>
    </row>
    <row r="14" spans="1:10" s="24" customFormat="1" ht="12.75">
      <c r="A14" s="20"/>
      <c r="B14" s="21"/>
      <c r="C14" s="22"/>
      <c r="D14" s="21"/>
      <c r="E14" s="21"/>
      <c r="F14" s="21"/>
      <c r="G14" s="21"/>
      <c r="H14" s="22"/>
      <c r="I14" s="94"/>
      <c r="J14" s="23"/>
    </row>
    <row r="15" spans="1:10" ht="12.75">
      <c r="A15" s="4"/>
      <c r="B15" s="4"/>
      <c r="C15" s="4"/>
      <c r="D15" s="4"/>
      <c r="E15" s="4"/>
      <c r="F15" s="4"/>
      <c r="G15" s="4"/>
      <c r="H15" s="25"/>
      <c r="I15" s="94" t="s">
        <v>298</v>
      </c>
      <c r="J15" s="1"/>
    </row>
    <row r="16" spans="1:10" ht="12.75">
      <c r="A16" s="4" t="s">
        <v>86</v>
      </c>
      <c r="B16" s="4"/>
      <c r="C16" s="4"/>
      <c r="D16" s="5" t="s">
        <v>110</v>
      </c>
      <c r="E16" s="5"/>
      <c r="F16" s="4"/>
      <c r="G16" s="4"/>
      <c r="H16" s="25"/>
      <c r="I16" s="9"/>
      <c r="J16" s="1"/>
    </row>
    <row r="17" spans="1:10" ht="12.75">
      <c r="A17" s="4"/>
      <c r="B17" s="4"/>
      <c r="C17" s="4"/>
      <c r="D17" s="4"/>
      <c r="E17" s="4"/>
      <c r="F17" s="4"/>
      <c r="G17" s="4"/>
      <c r="H17" s="25"/>
      <c r="I17" s="9"/>
      <c r="J17" s="1"/>
    </row>
    <row r="18" spans="1:10" ht="14.25">
      <c r="A18" s="138" t="s">
        <v>477</v>
      </c>
      <c r="B18" s="138"/>
      <c r="C18" s="138"/>
      <c r="D18" s="138"/>
      <c r="E18" s="138"/>
      <c r="F18" s="138"/>
      <c r="G18" s="138"/>
      <c r="H18" s="138"/>
      <c r="I18" s="138"/>
      <c r="J18" s="1"/>
    </row>
    <row r="19" spans="1:10" ht="12.75">
      <c r="A19" s="139" t="s">
        <v>371</v>
      </c>
      <c r="B19" s="139"/>
      <c r="C19" s="139"/>
      <c r="D19" s="139"/>
      <c r="E19" s="139"/>
      <c r="F19" s="139"/>
      <c r="G19" s="139"/>
      <c r="H19" s="139"/>
      <c r="I19" s="139"/>
      <c r="J19" s="1"/>
    </row>
    <row r="20" spans="1:10" ht="12.75">
      <c r="A20" s="4"/>
      <c r="B20" s="4"/>
      <c r="C20" s="4"/>
      <c r="D20" s="4"/>
      <c r="E20" s="4"/>
      <c r="F20" s="4"/>
      <c r="G20" s="4"/>
      <c r="H20" s="25"/>
      <c r="I20" s="25"/>
      <c r="J20" s="1"/>
    </row>
    <row r="21" spans="1:10" ht="12.75">
      <c r="A21" s="4"/>
      <c r="B21" s="4"/>
      <c r="C21" s="4"/>
      <c r="D21" s="4"/>
      <c r="E21" s="4"/>
      <c r="F21" s="4"/>
      <c r="G21" s="4"/>
      <c r="H21" s="25"/>
      <c r="I21" s="25" t="s">
        <v>296</v>
      </c>
      <c r="J21" s="1"/>
    </row>
    <row r="22" spans="1:10" ht="38.25" customHeight="1">
      <c r="A22" s="152" t="s">
        <v>84</v>
      </c>
      <c r="B22" s="153"/>
      <c r="C22" s="153"/>
      <c r="D22" s="153"/>
      <c r="E22" s="153"/>
      <c r="F22" s="154"/>
      <c r="G22" s="10" t="s">
        <v>115</v>
      </c>
      <c r="H22" s="10" t="s">
        <v>370</v>
      </c>
      <c r="I22" s="10" t="s">
        <v>369</v>
      </c>
      <c r="J22" s="1"/>
    </row>
    <row r="23" spans="1:10" ht="12.75">
      <c r="A23" s="155" t="s">
        <v>184</v>
      </c>
      <c r="B23" s="156"/>
      <c r="C23" s="156"/>
      <c r="D23" s="156"/>
      <c r="E23" s="156"/>
      <c r="F23" s="157"/>
      <c r="G23" s="13" t="s">
        <v>1</v>
      </c>
      <c r="H23" s="104">
        <f>13017931.53+1109533+0</f>
        <v>14127464.53</v>
      </c>
      <c r="I23" s="104">
        <f>16791817.34+1183100+0</f>
        <v>17974917.34</v>
      </c>
      <c r="J23" s="26"/>
    </row>
    <row r="24" spans="1:10" ht="12.75" customHeight="1">
      <c r="A24" s="133" t="s">
        <v>185</v>
      </c>
      <c r="B24" s="134"/>
      <c r="C24" s="134"/>
      <c r="D24" s="134"/>
      <c r="E24" s="134"/>
      <c r="F24" s="135"/>
      <c r="G24" s="13" t="s">
        <v>2</v>
      </c>
      <c r="H24" s="108">
        <f>10848977.19+539660+0</f>
        <v>11388637.19</v>
      </c>
      <c r="I24" s="108">
        <f>14244239.45+563998+0</f>
        <v>14808237.45</v>
      </c>
      <c r="J24" s="1"/>
    </row>
    <row r="25" spans="1:10" ht="12.75" customHeight="1">
      <c r="A25" s="118" t="s">
        <v>186</v>
      </c>
      <c r="B25" s="119"/>
      <c r="C25" s="119"/>
      <c r="D25" s="119"/>
      <c r="E25" s="119"/>
      <c r="F25" s="120"/>
      <c r="G25" s="15" t="s">
        <v>3</v>
      </c>
      <c r="H25" s="16">
        <f>H23-H24</f>
        <v>2738827.34</v>
      </c>
      <c r="I25" s="16">
        <f>I23-I24</f>
        <v>3166679.8900000006</v>
      </c>
      <c r="J25" s="1"/>
    </row>
    <row r="26" spans="1:9" ht="12.75" customHeight="1">
      <c r="A26" s="133" t="s">
        <v>187</v>
      </c>
      <c r="B26" s="134"/>
      <c r="C26" s="134"/>
      <c r="D26" s="134"/>
      <c r="E26" s="134"/>
      <c r="F26" s="135"/>
      <c r="G26" s="13" t="s">
        <v>5</v>
      </c>
      <c r="H26" s="104">
        <f>197229.15+90787+680</f>
        <v>288696.15</v>
      </c>
      <c r="I26" s="104">
        <f>183989.59+70982+0</f>
        <v>254971.59</v>
      </c>
    </row>
    <row r="27" spans="1:9" ht="12.75" customHeight="1">
      <c r="A27" s="133" t="s">
        <v>71</v>
      </c>
      <c r="B27" s="134"/>
      <c r="C27" s="134"/>
      <c r="D27" s="134"/>
      <c r="E27" s="134"/>
      <c r="F27" s="135"/>
      <c r="G27" s="13" t="s">
        <v>6</v>
      </c>
      <c r="H27" s="104">
        <f>1284575.6+266720+0</f>
        <v>1551295.6</v>
      </c>
      <c r="I27" s="104">
        <f>1124214.57+163782</f>
        <v>1287996.57</v>
      </c>
    </row>
    <row r="28" spans="1:10" ht="28.5" customHeight="1">
      <c r="A28" s="118" t="s">
        <v>188</v>
      </c>
      <c r="B28" s="119"/>
      <c r="C28" s="119"/>
      <c r="D28" s="119"/>
      <c r="E28" s="119"/>
      <c r="F28" s="120"/>
      <c r="G28" s="15" t="s">
        <v>11</v>
      </c>
      <c r="H28" s="16">
        <f>H25-H26-H27</f>
        <v>898835.5899999999</v>
      </c>
      <c r="I28" s="16">
        <f>I25-I26-I27</f>
        <v>1623711.7300000007</v>
      </c>
      <c r="J28" s="1"/>
    </row>
    <row r="29" spans="1:10" ht="12.75" customHeight="1">
      <c r="A29" s="133" t="s">
        <v>425</v>
      </c>
      <c r="B29" s="134"/>
      <c r="C29" s="134"/>
      <c r="D29" s="134"/>
      <c r="E29" s="134"/>
      <c r="F29" s="135"/>
      <c r="G29" s="13" t="s">
        <v>12</v>
      </c>
      <c r="H29" s="104">
        <f>4639.55+16683</f>
        <v>21322.55</v>
      </c>
      <c r="I29" s="104">
        <f>39507.04+354+0</f>
        <v>39861.04</v>
      </c>
      <c r="J29" s="1"/>
    </row>
    <row r="30" spans="1:10" ht="12.75" customHeight="1">
      <c r="A30" s="133" t="s">
        <v>426</v>
      </c>
      <c r="B30" s="134"/>
      <c r="C30" s="134"/>
      <c r="D30" s="134"/>
      <c r="E30" s="134"/>
      <c r="F30" s="135"/>
      <c r="G30" s="13" t="s">
        <v>14</v>
      </c>
      <c r="H30" s="104">
        <v>30899.15</v>
      </c>
      <c r="I30" s="104">
        <f>47731.3+0+0</f>
        <v>47731.3</v>
      </c>
      <c r="J30" s="1"/>
    </row>
    <row r="31" spans="1:10" ht="39.75" customHeight="1">
      <c r="A31" s="133" t="s">
        <v>189</v>
      </c>
      <c r="B31" s="134"/>
      <c r="C31" s="134"/>
      <c r="D31" s="134"/>
      <c r="E31" s="134"/>
      <c r="F31" s="135"/>
      <c r="G31" s="13" t="s">
        <v>15</v>
      </c>
      <c r="H31" s="104"/>
      <c r="I31" s="104"/>
      <c r="J31" s="1"/>
    </row>
    <row r="32" spans="1:11" ht="12.75" customHeight="1">
      <c r="A32" s="133" t="s">
        <v>427</v>
      </c>
      <c r="B32" s="134"/>
      <c r="C32" s="134"/>
      <c r="D32" s="134"/>
      <c r="E32" s="134"/>
      <c r="F32" s="135"/>
      <c r="G32" s="13" t="s">
        <v>17</v>
      </c>
      <c r="H32" s="104">
        <f>27321.4+4703223+224817+0-J32</f>
        <v>4909402.4</v>
      </c>
      <c r="I32" s="104">
        <f>134697.56+1024588+44556+0-K32</f>
        <v>1150606.56</v>
      </c>
      <c r="J32" s="1">
        <v>45959</v>
      </c>
      <c r="K32" s="2">
        <v>53235</v>
      </c>
    </row>
    <row r="33" spans="1:11" ht="12.75" customHeight="1">
      <c r="A33" s="133" t="s">
        <v>72</v>
      </c>
      <c r="B33" s="134"/>
      <c r="C33" s="134"/>
      <c r="D33" s="134"/>
      <c r="E33" s="134"/>
      <c r="F33" s="135"/>
      <c r="G33" s="13" t="s">
        <v>19</v>
      </c>
      <c r="H33" s="104">
        <f>869159+28938+0-J33</f>
        <v>852138</v>
      </c>
      <c r="I33" s="104">
        <f>167079+48117+0-K33</f>
        <v>161961</v>
      </c>
      <c r="J33" s="1">
        <v>45959</v>
      </c>
      <c r="K33" s="2">
        <v>53235</v>
      </c>
    </row>
    <row r="34" spans="1:10" ht="27.75" customHeight="1">
      <c r="A34" s="118" t="s">
        <v>190</v>
      </c>
      <c r="B34" s="119"/>
      <c r="C34" s="119"/>
      <c r="D34" s="119"/>
      <c r="E34" s="119"/>
      <c r="F34" s="120"/>
      <c r="G34" s="28" t="s">
        <v>10</v>
      </c>
      <c r="H34" s="16">
        <f>H28+H29-H30-H31+H32-H33</f>
        <v>4946523.390000001</v>
      </c>
      <c r="I34" s="16">
        <f>I28+I29-I30-I31+I32-I33</f>
        <v>2604487.0300000007</v>
      </c>
      <c r="J34" s="1"/>
    </row>
    <row r="35" spans="1:10" ht="12.75" customHeight="1">
      <c r="A35" s="133" t="s">
        <v>428</v>
      </c>
      <c r="B35" s="134"/>
      <c r="C35" s="134"/>
      <c r="D35" s="134"/>
      <c r="E35" s="134"/>
      <c r="F35" s="135"/>
      <c r="G35" s="13" t="s">
        <v>124</v>
      </c>
      <c r="H35" s="104">
        <f>-476052.56-108558+680</f>
        <v>-583930.56</v>
      </c>
      <c r="I35" s="104">
        <f>-354978-76919+0</f>
        <v>-431897</v>
      </c>
      <c r="J35" s="1"/>
    </row>
    <row r="36" spans="1:10" ht="24.75" customHeight="1">
      <c r="A36" s="118" t="s">
        <v>465</v>
      </c>
      <c r="B36" s="119"/>
      <c r="C36" s="119"/>
      <c r="D36" s="119"/>
      <c r="E36" s="119"/>
      <c r="F36" s="120"/>
      <c r="G36" s="15" t="s">
        <v>26</v>
      </c>
      <c r="H36" s="16">
        <f>H34+H35</f>
        <v>4362592.83</v>
      </c>
      <c r="I36" s="16">
        <f>I34+I35</f>
        <v>2172590.0300000007</v>
      </c>
      <c r="J36" s="1"/>
    </row>
    <row r="37" spans="1:10" ht="22.5" customHeight="1">
      <c r="A37" s="133" t="s">
        <v>191</v>
      </c>
      <c r="B37" s="134"/>
      <c r="C37" s="134"/>
      <c r="D37" s="134"/>
      <c r="E37" s="134"/>
      <c r="F37" s="135"/>
      <c r="G37" s="13" t="s">
        <v>192</v>
      </c>
      <c r="H37" s="104"/>
      <c r="I37" s="104"/>
      <c r="J37" s="26"/>
    </row>
    <row r="38" spans="1:10" ht="12.75" customHeight="1">
      <c r="A38" s="118" t="s">
        <v>193</v>
      </c>
      <c r="B38" s="119"/>
      <c r="C38" s="119"/>
      <c r="D38" s="119"/>
      <c r="E38" s="119"/>
      <c r="F38" s="120"/>
      <c r="G38" s="28" t="s">
        <v>28</v>
      </c>
      <c r="H38" s="16">
        <f>SUM(H36:H37)</f>
        <v>4362592.83</v>
      </c>
      <c r="I38" s="16">
        <f>SUM(I36:I37)</f>
        <v>2172590.0300000007</v>
      </c>
      <c r="J38" s="1"/>
    </row>
    <row r="39" spans="1:10" ht="12.75" customHeight="1">
      <c r="A39" s="133" t="s">
        <v>194</v>
      </c>
      <c r="B39" s="134"/>
      <c r="C39" s="134"/>
      <c r="D39" s="134"/>
      <c r="E39" s="134"/>
      <c r="F39" s="135"/>
      <c r="G39" s="28"/>
      <c r="H39" s="16"/>
      <c r="I39" s="16"/>
      <c r="J39" s="1"/>
    </row>
    <row r="40" spans="1:10" ht="12.75" customHeight="1">
      <c r="A40" s="133" t="s">
        <v>195</v>
      </c>
      <c r="B40" s="134"/>
      <c r="C40" s="134"/>
      <c r="D40" s="134"/>
      <c r="E40" s="134"/>
      <c r="F40" s="135"/>
      <c r="G40" s="13"/>
      <c r="H40" s="16"/>
      <c r="I40" s="16"/>
      <c r="J40" s="1"/>
    </row>
    <row r="41" spans="1:10" ht="27" customHeight="1">
      <c r="A41" s="118" t="s">
        <v>429</v>
      </c>
      <c r="B41" s="119"/>
      <c r="C41" s="119"/>
      <c r="D41" s="119"/>
      <c r="E41" s="119"/>
      <c r="F41" s="120"/>
      <c r="G41" s="15" t="s">
        <v>36</v>
      </c>
      <c r="H41" s="16">
        <f>H52+H58</f>
        <v>188876</v>
      </c>
      <c r="I41" s="16">
        <f>I52+I58</f>
        <v>220570</v>
      </c>
      <c r="J41" s="1"/>
    </row>
    <row r="42" spans="1:10" ht="12.75" customHeight="1">
      <c r="A42" s="133" t="s">
        <v>196</v>
      </c>
      <c r="B42" s="134"/>
      <c r="C42" s="134"/>
      <c r="D42" s="134"/>
      <c r="E42" s="134"/>
      <c r="F42" s="135"/>
      <c r="G42" s="13"/>
      <c r="H42" s="16"/>
      <c r="I42" s="16"/>
      <c r="J42" s="1"/>
    </row>
    <row r="43" spans="1:10" ht="39.75" customHeight="1">
      <c r="A43" s="133" t="s">
        <v>430</v>
      </c>
      <c r="B43" s="134"/>
      <c r="C43" s="134"/>
      <c r="D43" s="134"/>
      <c r="E43" s="134"/>
      <c r="F43" s="135"/>
      <c r="G43" s="13" t="s">
        <v>172</v>
      </c>
      <c r="H43" s="104"/>
      <c r="I43" s="104"/>
      <c r="J43" s="1"/>
    </row>
    <row r="44" spans="1:10" ht="39" customHeight="1">
      <c r="A44" s="133" t="s">
        <v>431</v>
      </c>
      <c r="B44" s="134"/>
      <c r="C44" s="134"/>
      <c r="D44" s="134"/>
      <c r="E44" s="134"/>
      <c r="F44" s="135"/>
      <c r="G44" s="13" t="s">
        <v>173</v>
      </c>
      <c r="H44" s="104"/>
      <c r="I44" s="104"/>
      <c r="J44" s="1"/>
    </row>
    <row r="45" spans="1:10" ht="27" customHeight="1">
      <c r="A45" s="133" t="s">
        <v>432</v>
      </c>
      <c r="B45" s="134"/>
      <c r="C45" s="134"/>
      <c r="D45" s="134"/>
      <c r="E45" s="134"/>
      <c r="F45" s="135"/>
      <c r="G45" s="13" t="s">
        <v>174</v>
      </c>
      <c r="H45" s="104"/>
      <c r="I45" s="104"/>
      <c r="J45" s="1"/>
    </row>
    <row r="46" spans="1:10" ht="25.5" customHeight="1">
      <c r="A46" s="133" t="s">
        <v>79</v>
      </c>
      <c r="B46" s="134"/>
      <c r="C46" s="134"/>
      <c r="D46" s="134"/>
      <c r="E46" s="134"/>
      <c r="F46" s="135"/>
      <c r="G46" s="13" t="s">
        <v>175</v>
      </c>
      <c r="H46" s="104"/>
      <c r="I46" s="104"/>
      <c r="J46" s="1"/>
    </row>
    <row r="47" spans="1:10" ht="24.75" customHeight="1">
      <c r="A47" s="133" t="s">
        <v>199</v>
      </c>
      <c r="B47" s="134"/>
      <c r="C47" s="134"/>
      <c r="D47" s="134"/>
      <c r="E47" s="134"/>
      <c r="F47" s="135"/>
      <c r="G47" s="13" t="s">
        <v>177</v>
      </c>
      <c r="H47" s="104"/>
      <c r="I47" s="104"/>
      <c r="J47" s="1"/>
    </row>
    <row r="48" spans="1:10" ht="24" customHeight="1">
      <c r="A48" s="133" t="s">
        <v>201</v>
      </c>
      <c r="B48" s="134"/>
      <c r="C48" s="134"/>
      <c r="D48" s="134"/>
      <c r="E48" s="134"/>
      <c r="F48" s="135"/>
      <c r="G48" s="13" t="s">
        <v>198</v>
      </c>
      <c r="H48" s="104"/>
      <c r="I48" s="104"/>
      <c r="J48" s="1"/>
    </row>
    <row r="49" spans="1:10" ht="12.75" customHeight="1">
      <c r="A49" s="133" t="s">
        <v>203</v>
      </c>
      <c r="B49" s="134"/>
      <c r="C49" s="134"/>
      <c r="D49" s="134"/>
      <c r="E49" s="134"/>
      <c r="F49" s="135"/>
      <c r="G49" s="13" t="s">
        <v>200</v>
      </c>
      <c r="H49" s="104"/>
      <c r="I49" s="104"/>
      <c r="J49" s="1"/>
    </row>
    <row r="50" spans="1:10" ht="27" customHeight="1">
      <c r="A50" s="133" t="s">
        <v>205</v>
      </c>
      <c r="B50" s="134"/>
      <c r="C50" s="134"/>
      <c r="D50" s="134"/>
      <c r="E50" s="134"/>
      <c r="F50" s="135"/>
      <c r="G50" s="13" t="s">
        <v>202</v>
      </c>
      <c r="H50" s="104"/>
      <c r="I50" s="104"/>
      <c r="J50" s="1"/>
    </row>
    <row r="51" spans="1:10" ht="24" customHeight="1">
      <c r="A51" s="133" t="s">
        <v>433</v>
      </c>
      <c r="B51" s="134"/>
      <c r="C51" s="134"/>
      <c r="D51" s="134"/>
      <c r="E51" s="134"/>
      <c r="F51" s="135"/>
      <c r="G51" s="13" t="s">
        <v>204</v>
      </c>
      <c r="H51" s="104"/>
      <c r="I51" s="104"/>
      <c r="J51" s="1"/>
    </row>
    <row r="52" spans="1:10" ht="57" customHeight="1">
      <c r="A52" s="133" t="s">
        <v>434</v>
      </c>
      <c r="B52" s="134"/>
      <c r="C52" s="134"/>
      <c r="D52" s="134"/>
      <c r="E52" s="134"/>
      <c r="F52" s="135"/>
      <c r="G52" s="13" t="s">
        <v>180</v>
      </c>
      <c r="H52" s="104">
        <f>H43+H44+H45+H46+H47+H48+H49+H50+H51</f>
        <v>0</v>
      </c>
      <c r="I52" s="104">
        <f>I43+I44+I45+I46+I47+I48+I49+I50+I51</f>
        <v>0</v>
      </c>
      <c r="J52" s="1"/>
    </row>
    <row r="53" spans="1:10" ht="12.75" customHeight="1">
      <c r="A53" s="133" t="s">
        <v>435</v>
      </c>
      <c r="B53" s="134"/>
      <c r="C53" s="134"/>
      <c r="D53" s="134"/>
      <c r="E53" s="134"/>
      <c r="F53" s="135"/>
      <c r="G53" s="13" t="s">
        <v>436</v>
      </c>
      <c r="H53" s="104">
        <v>188876</v>
      </c>
      <c r="I53" s="104">
        <v>220570</v>
      </c>
      <c r="J53" s="1"/>
    </row>
    <row r="54" spans="1:10" ht="37.5" customHeight="1">
      <c r="A54" s="133" t="s">
        <v>431</v>
      </c>
      <c r="B54" s="134"/>
      <c r="C54" s="134"/>
      <c r="D54" s="134"/>
      <c r="E54" s="134"/>
      <c r="F54" s="135"/>
      <c r="G54" s="13" t="s">
        <v>437</v>
      </c>
      <c r="H54" s="104"/>
      <c r="I54" s="104"/>
      <c r="J54" s="1"/>
    </row>
    <row r="55" spans="1:10" ht="12.75">
      <c r="A55" s="133" t="s">
        <v>442</v>
      </c>
      <c r="B55" s="134"/>
      <c r="C55" s="134"/>
      <c r="D55" s="134"/>
      <c r="E55" s="134"/>
      <c r="F55" s="135"/>
      <c r="G55" s="13" t="s">
        <v>438</v>
      </c>
      <c r="H55" s="104"/>
      <c r="I55" s="104"/>
      <c r="J55" s="1"/>
    </row>
    <row r="56" spans="1:10" ht="12.75">
      <c r="A56" s="133" t="s">
        <v>433</v>
      </c>
      <c r="B56" s="134"/>
      <c r="C56" s="134"/>
      <c r="D56" s="134"/>
      <c r="E56" s="134"/>
      <c r="F56" s="135"/>
      <c r="G56" s="13" t="s">
        <v>439</v>
      </c>
      <c r="H56" s="104"/>
      <c r="I56" s="104"/>
      <c r="J56" s="1"/>
    </row>
    <row r="57" spans="1:10" ht="24" customHeight="1">
      <c r="A57" s="133" t="s">
        <v>443</v>
      </c>
      <c r="B57" s="134"/>
      <c r="C57" s="134"/>
      <c r="D57" s="134"/>
      <c r="E57" s="134"/>
      <c r="F57" s="135"/>
      <c r="G57" s="13" t="s">
        <v>440</v>
      </c>
      <c r="H57" s="104"/>
      <c r="I57" s="104"/>
      <c r="J57" s="1"/>
    </row>
    <row r="58" spans="1:10" ht="49.5" customHeight="1">
      <c r="A58" s="133" t="s">
        <v>444</v>
      </c>
      <c r="B58" s="134"/>
      <c r="C58" s="134"/>
      <c r="D58" s="134"/>
      <c r="E58" s="134"/>
      <c r="F58" s="135"/>
      <c r="G58" s="15" t="s">
        <v>441</v>
      </c>
      <c r="H58" s="105">
        <f>H53+H54+H55+H56+H57</f>
        <v>188876</v>
      </c>
      <c r="I58" s="105">
        <f>I53+I54+I55+I56+I57</f>
        <v>220570</v>
      </c>
      <c r="J58" s="1"/>
    </row>
    <row r="59" spans="1:10" ht="18" customHeight="1">
      <c r="A59" s="118" t="s">
        <v>445</v>
      </c>
      <c r="B59" s="119"/>
      <c r="C59" s="119"/>
      <c r="D59" s="119"/>
      <c r="E59" s="119"/>
      <c r="F59" s="120"/>
      <c r="G59" s="15" t="s">
        <v>44</v>
      </c>
      <c r="H59" s="16">
        <f>H38+H41</f>
        <v>4551468.83</v>
      </c>
      <c r="I59" s="16">
        <f>I38+I41</f>
        <v>2393160.0300000007</v>
      </c>
      <c r="J59" s="1"/>
    </row>
    <row r="60" spans="1:10" ht="12.75" customHeight="1">
      <c r="A60" s="133" t="s">
        <v>206</v>
      </c>
      <c r="B60" s="134"/>
      <c r="C60" s="134"/>
      <c r="D60" s="134"/>
      <c r="E60" s="134"/>
      <c r="F60" s="135"/>
      <c r="G60" s="13"/>
      <c r="H60" s="57"/>
      <c r="I60" s="57"/>
      <c r="J60" s="1"/>
    </row>
    <row r="61" spans="1:10" ht="12.75" customHeight="1">
      <c r="A61" s="133" t="s">
        <v>194</v>
      </c>
      <c r="B61" s="134"/>
      <c r="C61" s="134"/>
      <c r="D61" s="134"/>
      <c r="E61" s="134"/>
      <c r="F61" s="135"/>
      <c r="G61" s="13"/>
      <c r="H61" s="57"/>
      <c r="I61" s="57"/>
      <c r="J61" s="1"/>
    </row>
    <row r="62" spans="1:10" ht="12.75" customHeight="1">
      <c r="A62" s="133" t="s">
        <v>195</v>
      </c>
      <c r="B62" s="134"/>
      <c r="C62" s="134"/>
      <c r="D62" s="134"/>
      <c r="E62" s="134"/>
      <c r="F62" s="135"/>
      <c r="G62" s="13"/>
      <c r="H62" s="57"/>
      <c r="I62" s="57"/>
      <c r="J62" s="1"/>
    </row>
    <row r="63" spans="1:10" ht="12.75" customHeight="1">
      <c r="A63" s="118" t="s">
        <v>207</v>
      </c>
      <c r="B63" s="119"/>
      <c r="C63" s="119"/>
      <c r="D63" s="119"/>
      <c r="E63" s="119"/>
      <c r="F63" s="120"/>
      <c r="G63" s="15" t="s">
        <v>208</v>
      </c>
      <c r="H63" s="104">
        <f>H36/78414*1000</f>
        <v>55635.381819573035</v>
      </c>
      <c r="I63" s="104">
        <f>I36/78414*1000</f>
        <v>27706.659907669557</v>
      </c>
      <c r="J63" s="1"/>
    </row>
    <row r="64" spans="1:10" ht="12.75" customHeight="1">
      <c r="A64" s="133" t="s">
        <v>196</v>
      </c>
      <c r="B64" s="134"/>
      <c r="C64" s="134"/>
      <c r="D64" s="134"/>
      <c r="E64" s="134"/>
      <c r="F64" s="135"/>
      <c r="G64" s="13"/>
      <c r="H64" s="57"/>
      <c r="I64" s="57"/>
      <c r="J64" s="1"/>
    </row>
    <row r="65" spans="1:10" ht="12.75" customHeight="1">
      <c r="A65" s="133" t="s">
        <v>209</v>
      </c>
      <c r="B65" s="134"/>
      <c r="C65" s="134"/>
      <c r="D65" s="134"/>
      <c r="E65" s="134"/>
      <c r="F65" s="135"/>
      <c r="G65" s="13"/>
      <c r="H65" s="57"/>
      <c r="I65" s="57"/>
      <c r="J65" s="1"/>
    </row>
    <row r="66" spans="1:10" ht="12.75" customHeight="1">
      <c r="A66" s="133" t="s">
        <v>210</v>
      </c>
      <c r="B66" s="134"/>
      <c r="C66" s="134"/>
      <c r="D66" s="134"/>
      <c r="E66" s="134"/>
      <c r="F66" s="135"/>
      <c r="G66" s="13"/>
      <c r="H66" s="57"/>
      <c r="I66" s="57"/>
      <c r="J66" s="1"/>
    </row>
    <row r="67" spans="1:10" ht="12.75" customHeight="1">
      <c r="A67" s="133" t="s">
        <v>211</v>
      </c>
      <c r="B67" s="134"/>
      <c r="C67" s="134"/>
      <c r="D67" s="134"/>
      <c r="E67" s="134"/>
      <c r="F67" s="135"/>
      <c r="G67" s="13"/>
      <c r="H67" s="57"/>
      <c r="I67" s="57"/>
      <c r="J67" s="1"/>
    </row>
    <row r="68" spans="1:10" ht="12.75" customHeight="1">
      <c r="A68" s="133" t="s">
        <v>212</v>
      </c>
      <c r="B68" s="134"/>
      <c r="C68" s="134"/>
      <c r="D68" s="134"/>
      <c r="E68" s="134"/>
      <c r="F68" s="135"/>
      <c r="G68" s="13"/>
      <c r="H68" s="57"/>
      <c r="I68" s="57"/>
      <c r="J68" s="1"/>
    </row>
    <row r="69" spans="1:10" ht="12.75" customHeight="1">
      <c r="A69" s="133" t="s">
        <v>210</v>
      </c>
      <c r="B69" s="134"/>
      <c r="C69" s="134"/>
      <c r="D69" s="134"/>
      <c r="E69" s="134"/>
      <c r="F69" s="135"/>
      <c r="G69" s="13"/>
      <c r="H69" s="57"/>
      <c r="I69" s="57"/>
      <c r="J69" s="1"/>
    </row>
    <row r="70" spans="1:10" ht="12.75" customHeight="1">
      <c r="A70" s="133" t="s">
        <v>211</v>
      </c>
      <c r="B70" s="134"/>
      <c r="C70" s="134"/>
      <c r="D70" s="134"/>
      <c r="E70" s="134"/>
      <c r="F70" s="135"/>
      <c r="G70" s="13"/>
      <c r="H70" s="16"/>
      <c r="I70" s="16"/>
      <c r="J70" s="1"/>
    </row>
    <row r="71" spans="1:10" ht="12.75">
      <c r="A71" s="4"/>
      <c r="B71" s="4"/>
      <c r="C71" s="4"/>
      <c r="D71" s="4"/>
      <c r="E71" s="4"/>
      <c r="F71" s="4"/>
      <c r="G71" s="4"/>
      <c r="H71" s="29"/>
      <c r="I71" s="29"/>
      <c r="J71" s="1"/>
    </row>
    <row r="72" spans="1:10" ht="12.75">
      <c r="A72" s="4"/>
      <c r="B72" s="4"/>
      <c r="C72" s="4"/>
      <c r="D72" s="4"/>
      <c r="E72" s="4"/>
      <c r="F72" s="4"/>
      <c r="G72" s="4"/>
      <c r="H72" s="29"/>
      <c r="I72" s="29"/>
      <c r="J72" s="1"/>
    </row>
    <row r="73" spans="1:10" ht="12.75">
      <c r="A73" s="5" t="s">
        <v>96</v>
      </c>
      <c r="B73" s="5"/>
      <c r="C73" s="5" t="s">
        <v>301</v>
      </c>
      <c r="D73" s="5"/>
      <c r="E73" s="5"/>
      <c r="F73" s="5"/>
      <c r="G73" s="5" t="s">
        <v>97</v>
      </c>
      <c r="H73" s="30"/>
      <c r="I73" s="29"/>
      <c r="J73" s="1"/>
    </row>
    <row r="74" spans="1:10" ht="12.75">
      <c r="A74" s="7"/>
      <c r="B74" s="7" t="s">
        <v>98</v>
      </c>
      <c r="C74" s="7"/>
      <c r="D74" s="7"/>
      <c r="E74" s="7"/>
      <c r="F74" s="7"/>
      <c r="G74" s="127" t="s">
        <v>82</v>
      </c>
      <c r="H74" s="151"/>
      <c r="I74" s="29"/>
      <c r="J74" s="1"/>
    </row>
    <row r="75" spans="1:10" ht="12.75">
      <c r="A75" s="5" t="s">
        <v>99</v>
      </c>
      <c r="B75" s="5"/>
      <c r="C75" s="5" t="s">
        <v>100</v>
      </c>
      <c r="D75" s="5"/>
      <c r="E75" s="5"/>
      <c r="F75" s="5"/>
      <c r="G75" s="5" t="s">
        <v>97</v>
      </c>
      <c r="H75" s="30"/>
      <c r="I75" s="29"/>
      <c r="J75" s="1"/>
    </row>
    <row r="76" spans="1:10" ht="12.75">
      <c r="A76" s="4"/>
      <c r="B76" s="4" t="s">
        <v>98</v>
      </c>
      <c r="C76" s="4"/>
      <c r="D76" s="4"/>
      <c r="E76" s="4"/>
      <c r="F76" s="4"/>
      <c r="G76" s="127" t="s">
        <v>82</v>
      </c>
      <c r="H76" s="151"/>
      <c r="I76" s="29"/>
      <c r="J76" s="1"/>
    </row>
    <row r="77" spans="1:10" ht="12.75">
      <c r="A77" s="4"/>
      <c r="B77" s="4"/>
      <c r="C77" s="4"/>
      <c r="D77" s="4"/>
      <c r="E77" s="4"/>
      <c r="F77" s="4"/>
      <c r="G77" s="4"/>
      <c r="H77" s="29"/>
      <c r="I77" s="29"/>
      <c r="J77" s="1"/>
    </row>
    <row r="78" spans="1:10" ht="12.75">
      <c r="A78" s="4" t="s">
        <v>101</v>
      </c>
      <c r="B78" s="4"/>
      <c r="C78" s="4"/>
      <c r="D78" s="4"/>
      <c r="E78" s="4"/>
      <c r="F78" s="4"/>
      <c r="G78" s="4"/>
      <c r="H78" s="29"/>
      <c r="I78" s="29"/>
      <c r="J78" s="1"/>
    </row>
    <row r="79" spans="1:10" ht="12.75">
      <c r="A79" s="1"/>
      <c r="B79" s="1"/>
      <c r="C79" s="1"/>
      <c r="D79" s="1"/>
      <c r="E79" s="1"/>
      <c r="F79" s="1"/>
      <c r="G79" s="1"/>
      <c r="H79" s="31"/>
      <c r="I79" s="31"/>
      <c r="J79" s="1"/>
    </row>
    <row r="80" spans="1:10" ht="12.75">
      <c r="A80" s="1"/>
      <c r="B80" s="1"/>
      <c r="C80" s="1"/>
      <c r="D80" s="1"/>
      <c r="E80" s="1"/>
      <c r="F80" s="1"/>
      <c r="G80" s="1"/>
      <c r="H80" s="31"/>
      <c r="I80" s="31"/>
      <c r="J80" s="1"/>
    </row>
    <row r="81" spans="1:10" ht="12.75">
      <c r="A81" s="1"/>
      <c r="B81" s="1"/>
      <c r="C81" s="1"/>
      <c r="D81" s="1"/>
      <c r="E81" s="1"/>
      <c r="F81" s="1"/>
      <c r="G81" s="1"/>
      <c r="H81" s="31"/>
      <c r="I81" s="31"/>
      <c r="J81" s="1"/>
    </row>
    <row r="82" spans="1:10" ht="12.75">
      <c r="A82" s="1"/>
      <c r="B82" s="1"/>
      <c r="C82" s="1"/>
      <c r="D82" s="1"/>
      <c r="E82" s="1"/>
      <c r="F82" s="1"/>
      <c r="G82" s="1"/>
      <c r="H82" s="31"/>
      <c r="I82" s="31"/>
      <c r="J82" s="1"/>
    </row>
    <row r="83" spans="1:10" ht="12.75">
      <c r="A83" s="1"/>
      <c r="B83" s="1"/>
      <c r="C83" s="1"/>
      <c r="D83" s="1"/>
      <c r="E83" s="1"/>
      <c r="F83" s="1"/>
      <c r="G83" s="1"/>
      <c r="H83" s="31"/>
      <c r="I83" s="31"/>
      <c r="J83" s="1"/>
    </row>
    <row r="84" spans="1:10" ht="12.75">
      <c r="A84" s="1"/>
      <c r="B84" s="1"/>
      <c r="C84" s="1"/>
      <c r="D84" s="1"/>
      <c r="E84" s="1"/>
      <c r="F84" s="1"/>
      <c r="G84" s="1"/>
      <c r="H84" s="31"/>
      <c r="I84" s="31"/>
      <c r="J84" s="1"/>
    </row>
    <row r="85" spans="1:10" ht="12.75">
      <c r="A85" s="1"/>
      <c r="B85" s="1"/>
      <c r="C85" s="1"/>
      <c r="D85" s="1"/>
      <c r="E85" s="1"/>
      <c r="F85" s="1"/>
      <c r="G85" s="1"/>
      <c r="H85" s="31"/>
      <c r="I85" s="31"/>
      <c r="J85" s="1"/>
    </row>
    <row r="86" spans="1:10" ht="12.75">
      <c r="A86" s="1"/>
      <c r="B86" s="1"/>
      <c r="C86" s="1"/>
      <c r="D86" s="1"/>
      <c r="E86" s="1"/>
      <c r="F86" s="1"/>
      <c r="G86" s="1"/>
      <c r="H86" s="31"/>
      <c r="I86" s="31"/>
      <c r="J86" s="1"/>
    </row>
    <row r="87" spans="1:10" ht="12.75">
      <c r="A87" s="1"/>
      <c r="B87" s="1"/>
      <c r="C87" s="1"/>
      <c r="D87" s="1"/>
      <c r="E87" s="1"/>
      <c r="F87" s="1"/>
      <c r="G87" s="1"/>
      <c r="H87" s="31"/>
      <c r="I87" s="31"/>
      <c r="J87" s="1"/>
    </row>
    <row r="88" spans="1:10" ht="12.75">
      <c r="A88" s="1"/>
      <c r="B88" s="1"/>
      <c r="C88" s="1"/>
      <c r="D88" s="1"/>
      <c r="E88" s="1"/>
      <c r="F88" s="1"/>
      <c r="G88" s="1"/>
      <c r="H88" s="31"/>
      <c r="I88" s="31"/>
      <c r="J88" s="1"/>
    </row>
    <row r="89" spans="1:10" ht="12.75">
      <c r="A89" s="1"/>
      <c r="B89" s="1"/>
      <c r="C89" s="1"/>
      <c r="D89" s="1"/>
      <c r="E89" s="1"/>
      <c r="F89" s="1"/>
      <c r="G89" s="1"/>
      <c r="H89" s="31"/>
      <c r="I89" s="31"/>
      <c r="J89" s="1"/>
    </row>
    <row r="90" spans="1:10" ht="12.75">
      <c r="A90" s="1"/>
      <c r="B90" s="1"/>
      <c r="C90" s="1"/>
      <c r="D90" s="1"/>
      <c r="E90" s="1"/>
      <c r="F90" s="1"/>
      <c r="G90" s="1"/>
      <c r="H90" s="31"/>
      <c r="I90" s="31"/>
      <c r="J90" s="1"/>
    </row>
    <row r="91" spans="1:10" ht="12.75">
      <c r="A91" s="1"/>
      <c r="B91" s="1"/>
      <c r="C91" s="1"/>
      <c r="D91" s="1"/>
      <c r="E91" s="1"/>
      <c r="F91" s="1"/>
      <c r="G91" s="1"/>
      <c r="H91" s="31"/>
      <c r="I91" s="31"/>
      <c r="J91" s="1"/>
    </row>
    <row r="92" spans="1:10" ht="12.75">
      <c r="A92" s="1"/>
      <c r="B92" s="1"/>
      <c r="C92" s="1"/>
      <c r="D92" s="1"/>
      <c r="E92" s="1"/>
      <c r="F92" s="1"/>
      <c r="G92" s="1"/>
      <c r="H92" s="31"/>
      <c r="I92" s="31"/>
      <c r="J92" s="1"/>
    </row>
    <row r="93" spans="1:10" ht="12.75">
      <c r="A93" s="1"/>
      <c r="B93" s="1"/>
      <c r="C93" s="1"/>
      <c r="D93" s="1"/>
      <c r="E93" s="1"/>
      <c r="F93" s="1"/>
      <c r="G93" s="1"/>
      <c r="H93" s="31"/>
      <c r="I93" s="31"/>
      <c r="J93" s="1"/>
    </row>
    <row r="94" spans="1:10" ht="12.75">
      <c r="A94" s="1"/>
      <c r="B94" s="1"/>
      <c r="C94" s="1"/>
      <c r="D94" s="1"/>
      <c r="E94" s="1"/>
      <c r="F94" s="1"/>
      <c r="G94" s="1"/>
      <c r="H94" s="31"/>
      <c r="I94" s="31"/>
      <c r="J94" s="1"/>
    </row>
    <row r="95" spans="1:10" ht="12.75">
      <c r="A95" s="1"/>
      <c r="B95" s="1"/>
      <c r="C95" s="1"/>
      <c r="D95" s="1"/>
      <c r="E95" s="1"/>
      <c r="F95" s="1"/>
      <c r="G95" s="1"/>
      <c r="H95" s="31"/>
      <c r="I95" s="31"/>
      <c r="J95" s="1"/>
    </row>
    <row r="96" spans="1:10" ht="12.75">
      <c r="A96" s="1"/>
      <c r="B96" s="1"/>
      <c r="C96" s="1"/>
      <c r="D96" s="1"/>
      <c r="E96" s="1"/>
      <c r="F96" s="1"/>
      <c r="G96" s="1"/>
      <c r="H96" s="31"/>
      <c r="I96" s="31"/>
      <c r="J96" s="1"/>
    </row>
    <row r="97" spans="1:10" ht="12.75">
      <c r="A97" s="1"/>
      <c r="B97" s="1"/>
      <c r="C97" s="1"/>
      <c r="D97" s="1"/>
      <c r="E97" s="1"/>
      <c r="F97" s="1"/>
      <c r="G97" s="1"/>
      <c r="H97" s="31"/>
      <c r="I97" s="31"/>
      <c r="J97" s="1"/>
    </row>
    <row r="98" spans="1:10" ht="12.75">
      <c r="A98" s="1"/>
      <c r="B98" s="1"/>
      <c r="C98" s="1"/>
      <c r="D98" s="1"/>
      <c r="E98" s="1"/>
      <c r="F98" s="1"/>
      <c r="G98" s="1"/>
      <c r="H98" s="31"/>
      <c r="I98" s="31"/>
      <c r="J98" s="1"/>
    </row>
    <row r="99" spans="1:10" ht="12.75">
      <c r="A99" s="1"/>
      <c r="B99" s="1"/>
      <c r="C99" s="1"/>
      <c r="D99" s="1"/>
      <c r="E99" s="1"/>
      <c r="F99" s="1"/>
      <c r="G99" s="1"/>
      <c r="H99" s="31"/>
      <c r="I99" s="3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31"/>
      <c r="I100" s="3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31"/>
      <c r="I101" s="3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31"/>
      <c r="I102" s="3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31"/>
      <c r="I103" s="3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31"/>
      <c r="I104" s="3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31"/>
      <c r="I105" s="3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31"/>
      <c r="I106" s="3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31"/>
      <c r="I107" s="3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31"/>
      <c r="I108" s="3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31"/>
      <c r="I109" s="3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31"/>
      <c r="I110" s="31"/>
      <c r="J110" s="1"/>
    </row>
  </sheetData>
  <sheetProtection/>
  <mergeCells count="53">
    <mergeCell ref="A56:F56"/>
    <mergeCell ref="A57:F57"/>
    <mergeCell ref="A58:F58"/>
    <mergeCell ref="A49:F49"/>
    <mergeCell ref="A52:F52"/>
    <mergeCell ref="A53:F53"/>
    <mergeCell ref="A18:I18"/>
    <mergeCell ref="A19:I19"/>
    <mergeCell ref="A22:F22"/>
    <mergeCell ref="A24:F24"/>
    <mergeCell ref="A25:F25"/>
    <mergeCell ref="A23:F23"/>
    <mergeCell ref="A26:F26"/>
    <mergeCell ref="A27:F27"/>
    <mergeCell ref="A28:F28"/>
    <mergeCell ref="A34:F34"/>
    <mergeCell ref="A29:F29"/>
    <mergeCell ref="A30:F30"/>
    <mergeCell ref="A32:F32"/>
    <mergeCell ref="A33:F33"/>
    <mergeCell ref="A61:F61"/>
    <mergeCell ref="A64:F64"/>
    <mergeCell ref="A31:F31"/>
    <mergeCell ref="A35:F35"/>
    <mergeCell ref="A36:F36"/>
    <mergeCell ref="A37:F37"/>
    <mergeCell ref="A38:F38"/>
    <mergeCell ref="A40:F40"/>
    <mergeCell ref="A54:F54"/>
    <mergeCell ref="A55:F55"/>
    <mergeCell ref="A44:F44"/>
    <mergeCell ref="A45:F45"/>
    <mergeCell ref="A46:F46"/>
    <mergeCell ref="A47:F47"/>
    <mergeCell ref="A48:F48"/>
    <mergeCell ref="A50:F50"/>
    <mergeCell ref="A39:F39"/>
    <mergeCell ref="A42:F42"/>
    <mergeCell ref="A51:F51"/>
    <mergeCell ref="A59:F59"/>
    <mergeCell ref="A70:F70"/>
    <mergeCell ref="A43:F43"/>
    <mergeCell ref="A62:F62"/>
    <mergeCell ref="A63:F63"/>
    <mergeCell ref="A60:F60"/>
    <mergeCell ref="A41:F41"/>
    <mergeCell ref="A68:F68"/>
    <mergeCell ref="A69:F69"/>
    <mergeCell ref="A65:F65"/>
    <mergeCell ref="A66:F66"/>
    <mergeCell ref="A67:F67"/>
    <mergeCell ref="G76:H76"/>
    <mergeCell ref="G74:H74"/>
  </mergeCells>
  <hyperlinks>
    <hyperlink ref="I2" r:id="rId1" display="sub0"/>
  </hyperlinks>
  <printOptions/>
  <pageMargins left="0.54" right="0.19" top="0.57" bottom="0.43" header="0.29" footer="0.18"/>
  <pageSetup horizontalDpi="600" verticalDpi="600" orientation="portrait" paperSize="9" r:id="rId5"/>
  <headerFooter alignWithMargins="0">
    <oddHeader>&amp;RФорма 2</oddHead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12" topLeftCell="A68" activePane="bottomLeft" state="frozen"/>
      <selection pane="topLeft" activeCell="A1" sqref="A1"/>
      <selection pane="bottomLeft" activeCell="H81" sqref="H81"/>
    </sheetView>
  </sheetViews>
  <sheetFormatPr defaultColWidth="9.00390625" defaultRowHeight="12.75"/>
  <cols>
    <col min="1" max="5" width="9.125" style="2" customWidth="1"/>
    <col min="6" max="6" width="19.875" style="2" customWidth="1"/>
    <col min="7" max="7" width="9.125" style="2" customWidth="1"/>
    <col min="8" max="8" width="15.875" style="2" customWidth="1"/>
    <col min="9" max="9" width="16.125" style="2" customWidth="1"/>
    <col min="10" max="10" width="18.75390625" style="2" customWidth="1"/>
    <col min="11" max="16384" width="9.125" style="2" customWidth="1"/>
  </cols>
  <sheetData>
    <row r="1" ht="12.75">
      <c r="I1" s="94" t="s">
        <v>102</v>
      </c>
    </row>
    <row r="2" ht="12.75">
      <c r="I2" s="95" t="s">
        <v>373</v>
      </c>
    </row>
    <row r="3" ht="12.75">
      <c r="I3" s="94" t="s">
        <v>374</v>
      </c>
    </row>
    <row r="4" ht="12.75">
      <c r="I4" s="94" t="s">
        <v>375</v>
      </c>
    </row>
    <row r="5" ht="12.75">
      <c r="I5" s="94" t="s">
        <v>376</v>
      </c>
    </row>
    <row r="6" ht="12.75">
      <c r="I6" s="94" t="s">
        <v>377</v>
      </c>
    </row>
    <row r="7" ht="12.75">
      <c r="I7" s="94" t="s">
        <v>378</v>
      </c>
    </row>
    <row r="8" ht="12.75">
      <c r="I8" s="94" t="s">
        <v>379</v>
      </c>
    </row>
    <row r="9" ht="12.75">
      <c r="I9" s="94"/>
    </row>
    <row r="10" ht="12.75">
      <c r="I10" s="94" t="s">
        <v>103</v>
      </c>
    </row>
    <row r="11" ht="12.75">
      <c r="I11" s="94" t="s">
        <v>380</v>
      </c>
    </row>
    <row r="12" spans="1:11" ht="12" customHeight="1">
      <c r="A12" s="3"/>
      <c r="B12" s="4"/>
      <c r="C12" s="4"/>
      <c r="D12" s="4"/>
      <c r="E12" s="4"/>
      <c r="F12" s="4"/>
      <c r="G12" s="4"/>
      <c r="H12" s="4"/>
      <c r="I12" s="94" t="s">
        <v>378</v>
      </c>
      <c r="J12" s="1"/>
      <c r="K12" s="1"/>
    </row>
    <row r="13" spans="1:11" ht="10.5" customHeight="1">
      <c r="A13" s="3"/>
      <c r="B13" s="4"/>
      <c r="C13" s="4"/>
      <c r="D13" s="4"/>
      <c r="E13" s="4"/>
      <c r="F13" s="4"/>
      <c r="G13" s="4"/>
      <c r="H13" s="4"/>
      <c r="I13" s="94" t="s">
        <v>302</v>
      </c>
      <c r="J13" s="1"/>
      <c r="K13" s="1"/>
    </row>
    <row r="14" spans="1:11" ht="10.5" customHeight="1">
      <c r="A14" s="3"/>
      <c r="B14" s="4"/>
      <c r="C14" s="4"/>
      <c r="D14" s="4"/>
      <c r="E14" s="4"/>
      <c r="F14" s="4"/>
      <c r="G14" s="4"/>
      <c r="H14" s="4"/>
      <c r="I14" s="94"/>
      <c r="J14" s="1"/>
      <c r="K14" s="1"/>
    </row>
    <row r="15" spans="1:11" ht="10.5" customHeight="1">
      <c r="A15" s="3"/>
      <c r="B15" s="4"/>
      <c r="C15" s="4"/>
      <c r="D15" s="4"/>
      <c r="E15" s="4"/>
      <c r="F15" s="4"/>
      <c r="G15" s="4"/>
      <c r="H15" s="4"/>
      <c r="I15" s="96" t="s">
        <v>298</v>
      </c>
      <c r="J15" s="1"/>
      <c r="K15" s="1"/>
    </row>
    <row r="16" spans="1:11" ht="1.5" customHeight="1" hidden="1">
      <c r="A16" s="4"/>
      <c r="B16" s="4"/>
      <c r="C16" s="4"/>
      <c r="D16" s="4"/>
      <c r="E16" s="4"/>
      <c r="F16" s="4"/>
      <c r="G16" s="4"/>
      <c r="H16" s="4"/>
      <c r="I16" s="4"/>
      <c r="J16" s="1"/>
      <c r="K16" s="1"/>
    </row>
    <row r="17" spans="1:11" ht="15.75" customHeight="1">
      <c r="A17" s="4" t="s">
        <v>86</v>
      </c>
      <c r="B17" s="4"/>
      <c r="C17" s="4"/>
      <c r="D17" s="7"/>
      <c r="E17" s="162" t="s">
        <v>110</v>
      </c>
      <c r="F17" s="162"/>
      <c r="G17" s="162"/>
      <c r="H17" s="162"/>
      <c r="I17" s="162"/>
      <c r="J17" s="1"/>
      <c r="K17" s="1"/>
    </row>
    <row r="18" spans="1:11" ht="0.75" customHeight="1">
      <c r="A18" s="4"/>
      <c r="B18" s="4"/>
      <c r="C18" s="4"/>
      <c r="D18" s="7"/>
      <c r="E18" s="4"/>
      <c r="F18" s="4"/>
      <c r="G18" s="4"/>
      <c r="H18" s="4"/>
      <c r="I18" s="4"/>
      <c r="J18" s="1"/>
      <c r="K18" s="1"/>
    </row>
    <row r="19" spans="1:11" ht="15.75" customHeight="1">
      <c r="A19" s="139" t="s">
        <v>478</v>
      </c>
      <c r="B19" s="139"/>
      <c r="C19" s="139"/>
      <c r="D19" s="139"/>
      <c r="E19" s="139"/>
      <c r="F19" s="139"/>
      <c r="G19" s="139"/>
      <c r="H19" s="139"/>
      <c r="I19" s="139"/>
      <c r="J19" s="1"/>
      <c r="K19" s="1"/>
    </row>
    <row r="20" spans="1:11" ht="12.75">
      <c r="A20" s="139" t="s">
        <v>371</v>
      </c>
      <c r="B20" s="139"/>
      <c r="C20" s="139"/>
      <c r="D20" s="139"/>
      <c r="E20" s="139"/>
      <c r="F20" s="139"/>
      <c r="G20" s="139"/>
      <c r="H20" s="139"/>
      <c r="I20" s="139"/>
      <c r="J20" s="1"/>
      <c r="K20" s="1"/>
    </row>
    <row r="21" spans="1:11" ht="12.75">
      <c r="A21" s="139" t="s">
        <v>45</v>
      </c>
      <c r="B21" s="139"/>
      <c r="C21" s="139"/>
      <c r="D21" s="139"/>
      <c r="E21" s="139"/>
      <c r="F21" s="139"/>
      <c r="G21" s="139"/>
      <c r="H21" s="139"/>
      <c r="I21" s="139"/>
      <c r="J21" s="1"/>
      <c r="K21" s="1"/>
    </row>
    <row r="22" spans="1:11" ht="18" customHeight="1">
      <c r="A22" s="4"/>
      <c r="B22" s="4"/>
      <c r="C22" s="4"/>
      <c r="D22" s="4"/>
      <c r="E22" s="4"/>
      <c r="F22" s="4"/>
      <c r="G22" s="4"/>
      <c r="H22" s="4"/>
      <c r="I22" s="25" t="s">
        <v>296</v>
      </c>
      <c r="J22" s="1"/>
      <c r="K22" s="1"/>
    </row>
    <row r="23" spans="1:11" ht="43.5" customHeight="1">
      <c r="A23" s="152" t="s">
        <v>46</v>
      </c>
      <c r="B23" s="153"/>
      <c r="C23" s="153"/>
      <c r="D23" s="153"/>
      <c r="E23" s="153"/>
      <c r="F23" s="154"/>
      <c r="G23" s="10" t="s">
        <v>115</v>
      </c>
      <c r="H23" s="10" t="s">
        <v>370</v>
      </c>
      <c r="I23" s="10" t="s">
        <v>369</v>
      </c>
      <c r="J23" s="1"/>
      <c r="K23" s="1"/>
    </row>
    <row r="24" spans="1:11" ht="12.75">
      <c r="A24" s="158" t="s">
        <v>104</v>
      </c>
      <c r="B24" s="159"/>
      <c r="C24" s="159"/>
      <c r="D24" s="159"/>
      <c r="E24" s="159"/>
      <c r="F24" s="159"/>
      <c r="G24" s="159"/>
      <c r="H24" s="159"/>
      <c r="I24" s="163"/>
      <c r="J24" s="1"/>
      <c r="K24" s="1"/>
    </row>
    <row r="25" spans="1:11" ht="12.75" customHeight="1">
      <c r="A25" s="124" t="s">
        <v>213</v>
      </c>
      <c r="B25" s="125"/>
      <c r="C25" s="125"/>
      <c r="D25" s="125"/>
      <c r="E25" s="125"/>
      <c r="F25" s="126"/>
      <c r="G25" s="15" t="s">
        <v>1</v>
      </c>
      <c r="H25" s="33">
        <f>H27+H28+H29+H30+H31+H32</f>
        <v>20014836.53</v>
      </c>
      <c r="I25" s="33">
        <f>I27+I28+I29+I30+I31+I32</f>
        <v>18562186.24</v>
      </c>
      <c r="J25" s="68">
        <f>18442975.53+1571856+5</f>
        <v>20014836.53</v>
      </c>
      <c r="K25" s="68">
        <f>H25-J25</f>
        <v>0</v>
      </c>
    </row>
    <row r="26" spans="1:11" ht="12.75" customHeight="1">
      <c r="A26" s="115" t="s">
        <v>105</v>
      </c>
      <c r="B26" s="116"/>
      <c r="C26" s="116"/>
      <c r="D26" s="116"/>
      <c r="E26" s="116"/>
      <c r="F26" s="117"/>
      <c r="G26" s="15"/>
      <c r="H26" s="34"/>
      <c r="I26" s="34"/>
      <c r="J26" s="68"/>
      <c r="K26" s="1"/>
    </row>
    <row r="27" spans="1:11" ht="12.75" customHeight="1">
      <c r="A27" s="115" t="s">
        <v>214</v>
      </c>
      <c r="B27" s="116"/>
      <c r="C27" s="116"/>
      <c r="D27" s="116"/>
      <c r="E27" s="116"/>
      <c r="F27" s="117"/>
      <c r="G27" s="13" t="s">
        <v>2</v>
      </c>
      <c r="H27" s="14">
        <f>2740920.24+191176+0</f>
        <v>2932096.24</v>
      </c>
      <c r="I27" s="14">
        <f>4692820.4+312571+0</f>
        <v>5005391.4</v>
      </c>
      <c r="J27" s="68"/>
      <c r="K27" s="1"/>
    </row>
    <row r="28" spans="1:11" ht="12.75" customHeight="1">
      <c r="A28" s="115" t="s">
        <v>215</v>
      </c>
      <c r="B28" s="116"/>
      <c r="C28" s="116"/>
      <c r="D28" s="116"/>
      <c r="E28" s="116"/>
      <c r="F28" s="117"/>
      <c r="G28" s="13" t="s">
        <v>3</v>
      </c>
      <c r="H28" s="14"/>
      <c r="I28" s="14"/>
      <c r="J28" s="1"/>
      <c r="K28" s="1"/>
    </row>
    <row r="29" spans="1:11" ht="12.75" customHeight="1">
      <c r="A29" s="115" t="s">
        <v>216</v>
      </c>
      <c r="B29" s="116"/>
      <c r="C29" s="116"/>
      <c r="D29" s="116"/>
      <c r="E29" s="116"/>
      <c r="F29" s="117"/>
      <c r="G29" s="13" t="s">
        <v>5</v>
      </c>
      <c r="H29" s="14">
        <f>14113974.39+1207169+0</f>
        <v>15321143.39</v>
      </c>
      <c r="I29" s="14">
        <f>12785681.25+720826+0</f>
        <v>13506507.25</v>
      </c>
      <c r="J29" s="1"/>
      <c r="K29" s="1"/>
    </row>
    <row r="30" spans="1:11" ht="12.75" customHeight="1">
      <c r="A30" s="115" t="s">
        <v>217</v>
      </c>
      <c r="B30" s="116"/>
      <c r="C30" s="116"/>
      <c r="D30" s="116"/>
      <c r="E30" s="116"/>
      <c r="F30" s="117"/>
      <c r="G30" s="13" t="s">
        <v>6</v>
      </c>
      <c r="H30" s="14"/>
      <c r="I30" s="14"/>
      <c r="J30" s="1"/>
      <c r="K30" s="1"/>
    </row>
    <row r="31" spans="1:11" ht="12.75" customHeight="1">
      <c r="A31" s="115" t="s">
        <v>218</v>
      </c>
      <c r="B31" s="116"/>
      <c r="C31" s="116"/>
      <c r="D31" s="116"/>
      <c r="E31" s="116"/>
      <c r="F31" s="117"/>
      <c r="G31" s="13" t="s">
        <v>7</v>
      </c>
      <c r="H31" s="14"/>
      <c r="I31" s="14"/>
      <c r="J31" s="1"/>
      <c r="K31" s="1"/>
    </row>
    <row r="32" spans="1:11" ht="12.75" customHeight="1">
      <c r="A32" s="115" t="s">
        <v>48</v>
      </c>
      <c r="B32" s="116"/>
      <c r="C32" s="116"/>
      <c r="D32" s="116"/>
      <c r="E32" s="116"/>
      <c r="F32" s="117"/>
      <c r="G32" s="13" t="s">
        <v>9</v>
      </c>
      <c r="H32" s="14">
        <f>1588080.9+173511+5</f>
        <v>1761596.9</v>
      </c>
      <c r="I32" s="14">
        <f>21409.59+28878+0</f>
        <v>50287.59</v>
      </c>
      <c r="J32" s="35"/>
      <c r="K32" s="35"/>
    </row>
    <row r="33" spans="1:11" ht="12.75" customHeight="1">
      <c r="A33" s="118" t="s">
        <v>219</v>
      </c>
      <c r="B33" s="119"/>
      <c r="C33" s="119"/>
      <c r="D33" s="119"/>
      <c r="E33" s="119"/>
      <c r="F33" s="120"/>
      <c r="G33" s="15" t="s">
        <v>11</v>
      </c>
      <c r="H33" s="16">
        <f>H35+H36+H37+H38+H39+H40+H41</f>
        <v>12836167.759999998</v>
      </c>
      <c r="I33" s="16">
        <f>I35+I36+I37+I38+I39+I40+I41</f>
        <v>15282772.799999999</v>
      </c>
      <c r="J33" s="68">
        <f>11727613.76+1099439+9115</f>
        <v>12836167.76</v>
      </c>
      <c r="K33" s="68">
        <f>H33-J33</f>
        <v>0</v>
      </c>
    </row>
    <row r="34" spans="1:11" ht="12.75" customHeight="1">
      <c r="A34" s="133" t="s">
        <v>47</v>
      </c>
      <c r="B34" s="134"/>
      <c r="C34" s="134"/>
      <c r="D34" s="134"/>
      <c r="E34" s="134"/>
      <c r="F34" s="135"/>
      <c r="G34" s="15"/>
      <c r="H34" s="34"/>
      <c r="I34" s="34"/>
      <c r="J34" s="1"/>
      <c r="K34" s="1"/>
    </row>
    <row r="35" spans="1:11" ht="12.75" customHeight="1">
      <c r="A35" s="133" t="s">
        <v>49</v>
      </c>
      <c r="B35" s="134"/>
      <c r="C35" s="134"/>
      <c r="D35" s="134"/>
      <c r="E35" s="134"/>
      <c r="F35" s="135"/>
      <c r="G35" s="13" t="s">
        <v>12</v>
      </c>
      <c r="H35" s="14">
        <f>6577942.83+409574+0</f>
        <v>6987516.83</v>
      </c>
      <c r="I35" s="14">
        <f>1552042.98+406880+0</f>
        <v>1958922.98</v>
      </c>
      <c r="J35" s="1"/>
      <c r="K35" s="1"/>
    </row>
    <row r="36" spans="1:11" ht="12.75" customHeight="1">
      <c r="A36" s="133" t="s">
        <v>220</v>
      </c>
      <c r="B36" s="134"/>
      <c r="C36" s="134"/>
      <c r="D36" s="134"/>
      <c r="E36" s="134"/>
      <c r="F36" s="135"/>
      <c r="G36" s="13" t="s">
        <v>14</v>
      </c>
      <c r="H36" s="14">
        <f>1723750.45+121646+0</f>
        <v>1845396.45</v>
      </c>
      <c r="I36" s="14">
        <f>10341361.33+65257+0</f>
        <v>10406618.33</v>
      </c>
      <c r="J36" s="1"/>
      <c r="K36" s="1"/>
    </row>
    <row r="37" spans="1:11" ht="12.75" customHeight="1">
      <c r="A37" s="133" t="s">
        <v>221</v>
      </c>
      <c r="B37" s="134"/>
      <c r="C37" s="134"/>
      <c r="D37" s="134"/>
      <c r="E37" s="134"/>
      <c r="F37" s="135"/>
      <c r="G37" s="13" t="s">
        <v>15</v>
      </c>
      <c r="H37" s="14">
        <f>1621802.53+244444+483</f>
        <v>1866729.53</v>
      </c>
      <c r="I37" s="14">
        <f>1301761.11+163231+0</f>
        <v>1464992.11</v>
      </c>
      <c r="J37" s="1"/>
      <c r="K37" s="1"/>
    </row>
    <row r="38" spans="1:11" ht="12.75" customHeight="1">
      <c r="A38" s="133" t="s">
        <v>222</v>
      </c>
      <c r="B38" s="134"/>
      <c r="C38" s="134"/>
      <c r="D38" s="134"/>
      <c r="E38" s="134"/>
      <c r="F38" s="135"/>
      <c r="G38" s="13" t="s">
        <v>17</v>
      </c>
      <c r="H38" s="14"/>
      <c r="I38" s="14"/>
      <c r="J38" s="1"/>
      <c r="K38" s="1"/>
    </row>
    <row r="39" spans="1:11" ht="12.75" customHeight="1">
      <c r="A39" s="133" t="s">
        <v>223</v>
      </c>
      <c r="B39" s="134"/>
      <c r="C39" s="134"/>
      <c r="D39" s="134"/>
      <c r="E39" s="134"/>
      <c r="F39" s="135"/>
      <c r="G39" s="13" t="s">
        <v>19</v>
      </c>
      <c r="H39" s="14"/>
      <c r="I39" s="14"/>
      <c r="J39" s="1"/>
      <c r="K39" s="1"/>
    </row>
    <row r="40" spans="1:11" ht="12.75" customHeight="1">
      <c r="A40" s="133" t="s">
        <v>224</v>
      </c>
      <c r="B40" s="134"/>
      <c r="C40" s="134"/>
      <c r="D40" s="134"/>
      <c r="E40" s="134"/>
      <c r="F40" s="135"/>
      <c r="G40" s="13" t="s">
        <v>21</v>
      </c>
      <c r="H40" s="14">
        <f>1692556.09+244431+8620</f>
        <v>1945607.09</v>
      </c>
      <c r="I40" s="14">
        <f>1090276.62+226612+0</f>
        <v>1316888.62</v>
      </c>
      <c r="J40" s="1"/>
      <c r="K40" s="1"/>
    </row>
    <row r="41" spans="1:11" ht="12.75" customHeight="1">
      <c r="A41" s="133" t="s">
        <v>50</v>
      </c>
      <c r="B41" s="134"/>
      <c r="C41" s="134"/>
      <c r="D41" s="134"/>
      <c r="E41" s="134"/>
      <c r="F41" s="135"/>
      <c r="G41" s="13" t="s">
        <v>23</v>
      </c>
      <c r="H41" s="14">
        <f>111561.86+79344+12</f>
        <v>190917.86</v>
      </c>
      <c r="I41" s="14">
        <f>86153.76+49197+0</f>
        <v>135350.76</v>
      </c>
      <c r="J41" s="1"/>
      <c r="K41" s="1"/>
    </row>
    <row r="42" spans="1:11" ht="24" customHeight="1">
      <c r="A42" s="118" t="s">
        <v>225</v>
      </c>
      <c r="B42" s="119"/>
      <c r="C42" s="119"/>
      <c r="D42" s="119"/>
      <c r="E42" s="119"/>
      <c r="F42" s="120"/>
      <c r="G42" s="28" t="s">
        <v>51</v>
      </c>
      <c r="H42" s="36">
        <f>H25-H33</f>
        <v>7178668.770000003</v>
      </c>
      <c r="I42" s="36">
        <f>I25-I33</f>
        <v>3279413.4399999995</v>
      </c>
      <c r="J42" s="68">
        <f>6715362+472417-9110</f>
        <v>7178669</v>
      </c>
      <c r="K42" s="68">
        <f>H42-J42</f>
        <v>-0.22999999672174454</v>
      </c>
    </row>
    <row r="43" spans="1:11" ht="12.75">
      <c r="A43" s="158" t="s">
        <v>106</v>
      </c>
      <c r="B43" s="159"/>
      <c r="C43" s="159"/>
      <c r="D43" s="159"/>
      <c r="E43" s="159"/>
      <c r="F43" s="159"/>
      <c r="G43" s="159"/>
      <c r="H43" s="160"/>
      <c r="I43" s="161"/>
      <c r="J43" s="1"/>
      <c r="K43" s="1"/>
    </row>
    <row r="44" spans="1:11" ht="12.75" customHeight="1">
      <c r="A44" s="124" t="s">
        <v>453</v>
      </c>
      <c r="B44" s="125"/>
      <c r="C44" s="125"/>
      <c r="D44" s="125"/>
      <c r="E44" s="125"/>
      <c r="F44" s="126"/>
      <c r="G44" s="15" t="s">
        <v>29</v>
      </c>
      <c r="H44" s="37">
        <f>H46+H47+H48+H49+H50+H51+H52+H53+H54+H55+H56+H57</f>
        <v>0</v>
      </c>
      <c r="I44" s="52">
        <f>I46+I47+I48+I49+I50+I51+I53+I54+I55+I56+I57</f>
        <v>3061</v>
      </c>
      <c r="J44" s="1"/>
      <c r="K44" s="1"/>
    </row>
    <row r="45" spans="1:11" ht="12.75" customHeight="1">
      <c r="A45" s="115" t="s">
        <v>105</v>
      </c>
      <c r="B45" s="116"/>
      <c r="C45" s="116"/>
      <c r="D45" s="116"/>
      <c r="E45" s="116"/>
      <c r="F45" s="117"/>
      <c r="G45" s="15"/>
      <c r="H45" s="34"/>
      <c r="I45" s="34"/>
      <c r="J45" s="1"/>
      <c r="K45" s="1"/>
    </row>
    <row r="46" spans="1:11" ht="12.75" customHeight="1">
      <c r="A46" s="133" t="s">
        <v>52</v>
      </c>
      <c r="B46" s="134"/>
      <c r="C46" s="134"/>
      <c r="D46" s="134"/>
      <c r="E46" s="134"/>
      <c r="F46" s="135"/>
      <c r="G46" s="13" t="s">
        <v>30</v>
      </c>
      <c r="H46" s="27"/>
      <c r="I46" s="27">
        <f>3061+0+0</f>
        <v>3061</v>
      </c>
      <c r="J46" s="1"/>
      <c r="K46" s="1"/>
    </row>
    <row r="47" spans="1:11" ht="12.75" customHeight="1">
      <c r="A47" s="133" t="s">
        <v>53</v>
      </c>
      <c r="B47" s="134"/>
      <c r="C47" s="134"/>
      <c r="D47" s="134"/>
      <c r="E47" s="134"/>
      <c r="F47" s="135"/>
      <c r="G47" s="13" t="s">
        <v>31</v>
      </c>
      <c r="H47" s="14"/>
      <c r="I47" s="14"/>
      <c r="J47" s="1"/>
      <c r="K47" s="1"/>
    </row>
    <row r="48" spans="1:11" ht="12.75" customHeight="1">
      <c r="A48" s="133" t="s">
        <v>54</v>
      </c>
      <c r="B48" s="134"/>
      <c r="C48" s="134"/>
      <c r="D48" s="134"/>
      <c r="E48" s="134"/>
      <c r="F48" s="135"/>
      <c r="G48" s="13" t="s">
        <v>33</v>
      </c>
      <c r="H48" s="14"/>
      <c r="I48" s="14"/>
      <c r="J48" s="1"/>
      <c r="K48" s="1"/>
    </row>
    <row r="49" spans="1:11" ht="26.25" customHeight="1">
      <c r="A49" s="133" t="s">
        <v>226</v>
      </c>
      <c r="B49" s="134"/>
      <c r="C49" s="134"/>
      <c r="D49" s="134"/>
      <c r="E49" s="134"/>
      <c r="F49" s="135"/>
      <c r="G49" s="13" t="s">
        <v>35</v>
      </c>
      <c r="H49" s="14"/>
      <c r="I49" s="14"/>
      <c r="J49" s="1"/>
      <c r="K49" s="1"/>
    </row>
    <row r="50" spans="1:11" ht="12.75" customHeight="1">
      <c r="A50" s="133" t="s">
        <v>227</v>
      </c>
      <c r="B50" s="134"/>
      <c r="C50" s="134"/>
      <c r="D50" s="134"/>
      <c r="E50" s="134"/>
      <c r="F50" s="135"/>
      <c r="G50" s="13" t="s">
        <v>55</v>
      </c>
      <c r="H50" s="14"/>
      <c r="I50" s="14"/>
      <c r="J50" s="1"/>
      <c r="K50" s="1"/>
    </row>
    <row r="51" spans="1:11" ht="12.75" customHeight="1">
      <c r="A51" s="133" t="s">
        <v>228</v>
      </c>
      <c r="B51" s="134"/>
      <c r="C51" s="134"/>
      <c r="D51" s="134"/>
      <c r="E51" s="134"/>
      <c r="F51" s="135"/>
      <c r="G51" s="13" t="s">
        <v>57</v>
      </c>
      <c r="H51" s="14"/>
      <c r="I51" s="14"/>
      <c r="J51" s="1"/>
      <c r="K51" s="1"/>
    </row>
    <row r="52" spans="1:11" ht="12.75" customHeight="1">
      <c r="A52" s="133" t="s">
        <v>446</v>
      </c>
      <c r="B52" s="134"/>
      <c r="C52" s="134"/>
      <c r="D52" s="134"/>
      <c r="E52" s="134"/>
      <c r="F52" s="135"/>
      <c r="G52" s="13" t="s">
        <v>58</v>
      </c>
      <c r="H52" s="14"/>
      <c r="I52" s="14"/>
      <c r="J52" s="1"/>
      <c r="K52" s="1"/>
    </row>
    <row r="53" spans="1:11" ht="12.75">
      <c r="A53" s="133" t="s">
        <v>229</v>
      </c>
      <c r="B53" s="134"/>
      <c r="C53" s="134"/>
      <c r="D53" s="134"/>
      <c r="E53" s="134"/>
      <c r="F53" s="135"/>
      <c r="G53" s="13" t="s">
        <v>230</v>
      </c>
      <c r="H53" s="14"/>
      <c r="I53" s="14"/>
      <c r="J53" s="1"/>
      <c r="K53" s="1"/>
    </row>
    <row r="54" spans="1:11" ht="12.75">
      <c r="A54" s="121" t="s">
        <v>56</v>
      </c>
      <c r="B54" s="122"/>
      <c r="C54" s="122"/>
      <c r="D54" s="122"/>
      <c r="E54" s="122"/>
      <c r="F54" s="123"/>
      <c r="G54" s="13" t="s">
        <v>232</v>
      </c>
      <c r="H54" s="14"/>
      <c r="I54" s="14"/>
      <c r="J54" s="1"/>
      <c r="K54" s="1"/>
    </row>
    <row r="55" spans="1:11" ht="12.75">
      <c r="A55" s="121" t="s">
        <v>231</v>
      </c>
      <c r="B55" s="122"/>
      <c r="C55" s="122"/>
      <c r="D55" s="122"/>
      <c r="E55" s="122"/>
      <c r="F55" s="123"/>
      <c r="G55" s="13" t="s">
        <v>38</v>
      </c>
      <c r="H55" s="14">
        <f>1562508.32+0+0-1562508.32</f>
        <v>0</v>
      </c>
      <c r="I55" s="14"/>
      <c r="J55" s="1"/>
      <c r="K55" s="1"/>
    </row>
    <row r="56" spans="1:11" ht="12.75">
      <c r="A56" s="121" t="s">
        <v>218</v>
      </c>
      <c r="B56" s="122"/>
      <c r="C56" s="122"/>
      <c r="D56" s="122"/>
      <c r="E56" s="122"/>
      <c r="F56" s="123"/>
      <c r="G56" s="13" t="s">
        <v>40</v>
      </c>
      <c r="H56" s="14"/>
      <c r="I56" s="14"/>
      <c r="J56" s="1"/>
      <c r="K56" s="1"/>
    </row>
    <row r="57" spans="1:11" ht="12.75">
      <c r="A57" s="121" t="s">
        <v>48</v>
      </c>
      <c r="B57" s="122"/>
      <c r="C57" s="122"/>
      <c r="D57" s="122"/>
      <c r="E57" s="122"/>
      <c r="F57" s="123"/>
      <c r="G57" s="13" t="s">
        <v>447</v>
      </c>
      <c r="H57" s="14"/>
      <c r="I57" s="14"/>
      <c r="J57" s="1"/>
      <c r="K57" s="1"/>
    </row>
    <row r="58" spans="1:11" ht="12.75" customHeight="1">
      <c r="A58" s="118" t="s">
        <v>452</v>
      </c>
      <c r="B58" s="119"/>
      <c r="C58" s="119"/>
      <c r="D58" s="119"/>
      <c r="E58" s="119"/>
      <c r="F58" s="120"/>
      <c r="G58" s="15" t="s">
        <v>62</v>
      </c>
      <c r="H58" s="16">
        <f>H60+H61+H62+H63+H64+H65+H68+H69+H70+H71+H72</f>
        <v>664544.3300000001</v>
      </c>
      <c r="I58" s="16">
        <f>I60+I61+I62+I63+I64+I65+I68+I69+I70+I71+I72</f>
        <v>1304526.88</v>
      </c>
      <c r="J58" s="68">
        <f>655189+9355+0</f>
        <v>664544</v>
      </c>
      <c r="K58" s="1"/>
    </row>
    <row r="59" spans="1:11" ht="12.75" customHeight="1">
      <c r="A59" s="115" t="s">
        <v>105</v>
      </c>
      <c r="B59" s="116"/>
      <c r="C59" s="116"/>
      <c r="D59" s="116"/>
      <c r="E59" s="116"/>
      <c r="F59" s="117"/>
      <c r="G59" s="13"/>
      <c r="H59" s="34"/>
      <c r="I59" s="34"/>
      <c r="J59" s="1"/>
      <c r="K59" s="35"/>
    </row>
    <row r="60" spans="1:11" ht="12.75">
      <c r="A60" s="121" t="s">
        <v>59</v>
      </c>
      <c r="B60" s="122"/>
      <c r="C60" s="122"/>
      <c r="D60" s="122"/>
      <c r="E60" s="122"/>
      <c r="F60" s="123"/>
      <c r="G60" s="13" t="s">
        <v>233</v>
      </c>
      <c r="H60" s="27">
        <f>514724.33+8352+0</f>
        <v>523076.33</v>
      </c>
      <c r="I60" s="27">
        <f>1287295.88+16879+0</f>
        <v>1304174.88</v>
      </c>
      <c r="J60" s="1"/>
      <c r="K60" s="35"/>
    </row>
    <row r="61" spans="1:11" ht="12.75">
      <c r="A61" s="121" t="s">
        <v>60</v>
      </c>
      <c r="B61" s="122"/>
      <c r="C61" s="122"/>
      <c r="D61" s="122"/>
      <c r="E61" s="122"/>
      <c r="F61" s="123"/>
      <c r="G61" s="13" t="s">
        <v>234</v>
      </c>
      <c r="H61" s="14">
        <f>0+1003+0</f>
        <v>1003</v>
      </c>
      <c r="I61" s="14">
        <f>0+352+0</f>
        <v>352</v>
      </c>
      <c r="J61" s="1"/>
      <c r="K61" s="35"/>
    </row>
    <row r="62" spans="1:11" ht="12.75">
      <c r="A62" s="121" t="s">
        <v>61</v>
      </c>
      <c r="B62" s="122"/>
      <c r="C62" s="122"/>
      <c r="D62" s="122"/>
      <c r="E62" s="122"/>
      <c r="F62" s="123"/>
      <c r="G62" s="13" t="s">
        <v>235</v>
      </c>
      <c r="H62" s="14">
        <f>140465+0+0</f>
        <v>140465</v>
      </c>
      <c r="I62" s="14">
        <v>0</v>
      </c>
      <c r="J62" s="1"/>
      <c r="K62" s="1"/>
    </row>
    <row r="63" spans="1:11" ht="27.75" customHeight="1">
      <c r="A63" s="133" t="s">
        <v>242</v>
      </c>
      <c r="B63" s="134"/>
      <c r="C63" s="134"/>
      <c r="D63" s="134"/>
      <c r="E63" s="134"/>
      <c r="F63" s="135"/>
      <c r="G63" s="13" t="s">
        <v>236</v>
      </c>
      <c r="H63" s="14"/>
      <c r="I63" s="14"/>
      <c r="J63" s="1"/>
      <c r="K63" s="1"/>
    </row>
    <row r="64" spans="1:11" ht="12.75" customHeight="1">
      <c r="A64" s="133" t="s">
        <v>243</v>
      </c>
      <c r="B64" s="134"/>
      <c r="C64" s="134"/>
      <c r="D64" s="134"/>
      <c r="E64" s="134"/>
      <c r="F64" s="135"/>
      <c r="G64" s="13" t="s">
        <v>237</v>
      </c>
      <c r="H64" s="14"/>
      <c r="I64" s="14"/>
      <c r="J64" s="1"/>
      <c r="K64" s="1"/>
    </row>
    <row r="65" spans="1:11" ht="12.75">
      <c r="A65" s="133" t="s">
        <v>244</v>
      </c>
      <c r="B65" s="134"/>
      <c r="C65" s="134"/>
      <c r="D65" s="134"/>
      <c r="E65" s="134"/>
      <c r="F65" s="135"/>
      <c r="G65" s="13" t="s">
        <v>238</v>
      </c>
      <c r="H65" s="14"/>
      <c r="I65" s="14"/>
      <c r="J65" s="1"/>
      <c r="K65" s="1"/>
    </row>
    <row r="66" spans="1:11" ht="12.75">
      <c r="A66" s="133" t="s">
        <v>448</v>
      </c>
      <c r="B66" s="134"/>
      <c r="C66" s="134"/>
      <c r="D66" s="134"/>
      <c r="E66" s="134"/>
      <c r="F66" s="135"/>
      <c r="G66" s="13" t="s">
        <v>239</v>
      </c>
      <c r="H66" s="14"/>
      <c r="I66" s="14"/>
      <c r="J66" s="1"/>
      <c r="K66" s="1"/>
    </row>
    <row r="67" spans="1:11" ht="12.75">
      <c r="A67" s="133" t="s">
        <v>449</v>
      </c>
      <c r="B67" s="134"/>
      <c r="C67" s="134"/>
      <c r="D67" s="134"/>
      <c r="E67" s="134"/>
      <c r="F67" s="135"/>
      <c r="G67" s="13" t="s">
        <v>240</v>
      </c>
      <c r="H67" s="14"/>
      <c r="I67" s="14"/>
      <c r="J67" s="1"/>
      <c r="K67" s="1"/>
    </row>
    <row r="68" spans="1:11" ht="12.75">
      <c r="A68" s="133" t="s">
        <v>245</v>
      </c>
      <c r="B68" s="134"/>
      <c r="C68" s="134"/>
      <c r="D68" s="134"/>
      <c r="E68" s="134"/>
      <c r="F68" s="135"/>
      <c r="G68" s="13" t="s">
        <v>241</v>
      </c>
      <c r="H68" s="14"/>
      <c r="I68" s="14"/>
      <c r="J68" s="1"/>
      <c r="K68" s="1"/>
    </row>
    <row r="69" spans="1:11" ht="12.75">
      <c r="A69" s="121" t="s">
        <v>246</v>
      </c>
      <c r="B69" s="122"/>
      <c r="C69" s="122"/>
      <c r="D69" s="122"/>
      <c r="E69" s="122"/>
      <c r="F69" s="123"/>
      <c r="G69" s="13" t="s">
        <v>63</v>
      </c>
      <c r="H69" s="14"/>
      <c r="I69" s="14"/>
      <c r="J69" s="1"/>
      <c r="K69" s="1"/>
    </row>
    <row r="70" spans="1:11" ht="12.75">
      <c r="A70" s="121" t="s">
        <v>56</v>
      </c>
      <c r="B70" s="122"/>
      <c r="C70" s="122"/>
      <c r="D70" s="122"/>
      <c r="E70" s="122"/>
      <c r="F70" s="123"/>
      <c r="G70" s="13" t="s">
        <v>65</v>
      </c>
      <c r="H70" s="14"/>
      <c r="I70" s="14"/>
      <c r="J70" s="1"/>
      <c r="K70" s="1"/>
    </row>
    <row r="71" spans="1:11" ht="12.75">
      <c r="A71" s="121" t="s">
        <v>247</v>
      </c>
      <c r="B71" s="122"/>
      <c r="C71" s="122"/>
      <c r="D71" s="122"/>
      <c r="E71" s="122"/>
      <c r="F71" s="123"/>
      <c r="G71" s="13" t="s">
        <v>450</v>
      </c>
      <c r="H71" s="14"/>
      <c r="I71" s="14"/>
      <c r="J71" s="1"/>
      <c r="K71" s="1"/>
    </row>
    <row r="72" spans="1:11" ht="12.75">
      <c r="A72" s="121" t="s">
        <v>50</v>
      </c>
      <c r="B72" s="122"/>
      <c r="C72" s="122"/>
      <c r="D72" s="122"/>
      <c r="E72" s="122"/>
      <c r="F72" s="123"/>
      <c r="G72" s="13" t="s">
        <v>451</v>
      </c>
      <c r="H72" s="14"/>
      <c r="I72" s="14"/>
      <c r="J72" s="1"/>
      <c r="K72" s="1"/>
    </row>
    <row r="73" spans="1:11" ht="25.5" customHeight="1">
      <c r="A73" s="118" t="s">
        <v>248</v>
      </c>
      <c r="B73" s="119"/>
      <c r="C73" s="119"/>
      <c r="D73" s="119"/>
      <c r="E73" s="119"/>
      <c r="F73" s="120"/>
      <c r="G73" s="28" t="s">
        <v>67</v>
      </c>
      <c r="H73" s="38">
        <f>H44-H58</f>
        <v>-664544.3300000001</v>
      </c>
      <c r="I73" s="38">
        <f>I44-I58</f>
        <v>-1301465.88</v>
      </c>
      <c r="J73" s="1"/>
      <c r="K73" s="1"/>
    </row>
    <row r="74" spans="1:11" ht="12.75">
      <c r="A74" s="158" t="s">
        <v>107</v>
      </c>
      <c r="B74" s="159"/>
      <c r="C74" s="159"/>
      <c r="D74" s="159"/>
      <c r="E74" s="159"/>
      <c r="F74" s="159"/>
      <c r="G74" s="159"/>
      <c r="H74" s="160"/>
      <c r="I74" s="161"/>
      <c r="J74" s="1"/>
      <c r="K74" s="1"/>
    </row>
    <row r="75" spans="1:11" ht="12.75" customHeight="1">
      <c r="A75" s="118" t="s">
        <v>249</v>
      </c>
      <c r="B75" s="119"/>
      <c r="C75" s="119"/>
      <c r="D75" s="119"/>
      <c r="E75" s="119"/>
      <c r="F75" s="120"/>
      <c r="G75" s="15" t="s">
        <v>70</v>
      </c>
      <c r="H75" s="16">
        <f>H77+H78+H79+H80</f>
        <v>120204.82999999999</v>
      </c>
      <c r="I75" s="16">
        <f>I77+I78+I79+I80</f>
        <v>16116.04</v>
      </c>
      <c r="J75" s="1"/>
      <c r="K75" s="1"/>
    </row>
    <row r="76" spans="1:11" ht="12.75" customHeight="1">
      <c r="A76" s="115" t="s">
        <v>105</v>
      </c>
      <c r="B76" s="116"/>
      <c r="C76" s="116"/>
      <c r="D76" s="116"/>
      <c r="E76" s="116"/>
      <c r="F76" s="117"/>
      <c r="G76" s="13"/>
      <c r="H76" s="34"/>
      <c r="I76" s="34"/>
      <c r="J76" s="1"/>
      <c r="K76" s="1"/>
    </row>
    <row r="77" spans="1:11" ht="12.75">
      <c r="A77" s="121" t="s">
        <v>64</v>
      </c>
      <c r="B77" s="122"/>
      <c r="C77" s="122"/>
      <c r="D77" s="122"/>
      <c r="E77" s="122"/>
      <c r="F77" s="123"/>
      <c r="G77" s="13" t="s">
        <v>250</v>
      </c>
      <c r="H77" s="14"/>
      <c r="I77" s="14"/>
      <c r="J77" s="1"/>
      <c r="K77" s="1"/>
    </row>
    <row r="78" spans="1:11" ht="12.75">
      <c r="A78" s="121" t="s">
        <v>66</v>
      </c>
      <c r="B78" s="122"/>
      <c r="C78" s="122"/>
      <c r="D78" s="122"/>
      <c r="E78" s="122"/>
      <c r="F78" s="123"/>
      <c r="G78" s="13" t="s">
        <v>251</v>
      </c>
      <c r="H78" s="14">
        <f>102080.9+0+0</f>
        <v>102080.9</v>
      </c>
      <c r="I78" s="14"/>
      <c r="J78" s="1"/>
      <c r="K78" s="1"/>
    </row>
    <row r="79" spans="1:11" ht="12.75">
      <c r="A79" s="121" t="s">
        <v>252</v>
      </c>
      <c r="B79" s="122"/>
      <c r="C79" s="122"/>
      <c r="D79" s="122"/>
      <c r="E79" s="122"/>
      <c r="F79" s="123"/>
      <c r="G79" s="13" t="s">
        <v>253</v>
      </c>
      <c r="H79" s="14">
        <f>3943.93+14180+0</f>
        <v>18123.93</v>
      </c>
      <c r="I79" s="14">
        <f>15815.04+301+0</f>
        <v>16116.04</v>
      </c>
      <c r="J79" s="1"/>
      <c r="K79" s="1"/>
    </row>
    <row r="80" spans="1:11" ht="12.75">
      <c r="A80" s="121" t="s">
        <v>48</v>
      </c>
      <c r="B80" s="122"/>
      <c r="C80" s="122"/>
      <c r="D80" s="122"/>
      <c r="E80" s="122"/>
      <c r="F80" s="123"/>
      <c r="G80" s="13" t="s">
        <v>254</v>
      </c>
      <c r="H80" s="14">
        <f>0+0+253-253</f>
        <v>0</v>
      </c>
      <c r="I80" s="14"/>
      <c r="J80" s="1"/>
      <c r="K80" s="1"/>
    </row>
    <row r="81" spans="1:11" ht="12.75" customHeight="1">
      <c r="A81" s="118" t="s">
        <v>255</v>
      </c>
      <c r="B81" s="119"/>
      <c r="C81" s="119"/>
      <c r="D81" s="119"/>
      <c r="E81" s="119"/>
      <c r="F81" s="120"/>
      <c r="G81" s="15" t="s">
        <v>10</v>
      </c>
      <c r="H81" s="16">
        <f>H83+H84+H85+H86+H87</f>
        <v>354023.38999999996</v>
      </c>
      <c r="I81" s="16">
        <f>I83+I84+I85+I86+I87</f>
        <v>1334500.3</v>
      </c>
      <c r="J81" s="1"/>
      <c r="K81" s="1"/>
    </row>
    <row r="82" spans="1:11" ht="12.75" customHeight="1">
      <c r="A82" s="133" t="s">
        <v>47</v>
      </c>
      <c r="B82" s="134"/>
      <c r="C82" s="134"/>
      <c r="D82" s="134"/>
      <c r="E82" s="134"/>
      <c r="F82" s="135"/>
      <c r="G82" s="15"/>
      <c r="H82" s="34"/>
      <c r="I82" s="34"/>
      <c r="J82" s="1"/>
      <c r="K82" s="1"/>
    </row>
    <row r="83" spans="1:11" ht="12.75" customHeight="1">
      <c r="A83" s="133" t="s">
        <v>68</v>
      </c>
      <c r="B83" s="134"/>
      <c r="C83" s="134"/>
      <c r="D83" s="134"/>
      <c r="E83" s="134"/>
      <c r="F83" s="135"/>
      <c r="G83" s="13" t="s">
        <v>124</v>
      </c>
      <c r="H83" s="14">
        <f>310783.04+0+0</f>
        <v>310783.04</v>
      </c>
      <c r="I83" s="14">
        <v>1276602.33</v>
      </c>
      <c r="J83" s="1"/>
      <c r="K83" s="1"/>
    </row>
    <row r="84" spans="1:11" ht="12.75" customHeight="1">
      <c r="A84" s="133" t="s">
        <v>222</v>
      </c>
      <c r="B84" s="134"/>
      <c r="C84" s="134"/>
      <c r="D84" s="134"/>
      <c r="E84" s="134"/>
      <c r="F84" s="135"/>
      <c r="G84" s="13" t="s">
        <v>256</v>
      </c>
      <c r="H84" s="14">
        <f>43000.35+0+0</f>
        <v>43000.35</v>
      </c>
      <c r="I84" s="14">
        <v>57897.97</v>
      </c>
      <c r="J84" s="1"/>
      <c r="K84" s="1"/>
    </row>
    <row r="85" spans="1:11" ht="12.75" customHeight="1">
      <c r="A85" s="133" t="s">
        <v>69</v>
      </c>
      <c r="B85" s="134"/>
      <c r="C85" s="134"/>
      <c r="D85" s="134"/>
      <c r="E85" s="134"/>
      <c r="F85" s="135"/>
      <c r="G85" s="13" t="s">
        <v>257</v>
      </c>
      <c r="H85" s="14">
        <f>0+1562508+0-1562508</f>
        <v>0</v>
      </c>
      <c r="I85" s="14"/>
      <c r="J85" s="1"/>
      <c r="K85" s="1"/>
    </row>
    <row r="86" spans="1:11" ht="12.75" customHeight="1">
      <c r="A86" s="133" t="s">
        <v>258</v>
      </c>
      <c r="B86" s="134"/>
      <c r="C86" s="134"/>
      <c r="D86" s="134"/>
      <c r="E86" s="134"/>
      <c r="F86" s="135"/>
      <c r="G86" s="13" t="s">
        <v>259</v>
      </c>
      <c r="H86" s="14"/>
      <c r="I86" s="14"/>
      <c r="J86" s="1"/>
      <c r="K86" s="1"/>
    </row>
    <row r="87" spans="1:11" ht="12.75" customHeight="1">
      <c r="A87" s="133" t="s">
        <v>260</v>
      </c>
      <c r="B87" s="134"/>
      <c r="C87" s="134"/>
      <c r="D87" s="134"/>
      <c r="E87" s="134"/>
      <c r="F87" s="135"/>
      <c r="G87" s="13" t="s">
        <v>261</v>
      </c>
      <c r="H87" s="14">
        <f>493+0-253</f>
        <v>240</v>
      </c>
      <c r="I87" s="14"/>
      <c r="J87" s="1"/>
      <c r="K87" s="1"/>
    </row>
    <row r="88" spans="1:11" ht="27.75" customHeight="1">
      <c r="A88" s="118" t="s">
        <v>262</v>
      </c>
      <c r="B88" s="119"/>
      <c r="C88" s="119"/>
      <c r="D88" s="119"/>
      <c r="E88" s="119"/>
      <c r="F88" s="120"/>
      <c r="G88" s="28" t="s">
        <v>73</v>
      </c>
      <c r="H88" s="16">
        <f>H75-H81</f>
        <v>-233818.55999999997</v>
      </c>
      <c r="I88" s="16">
        <f>I75-I81</f>
        <v>-1318384.26</v>
      </c>
      <c r="J88" s="1"/>
      <c r="K88" s="1"/>
    </row>
    <row r="89" spans="1:11" ht="15.75" customHeight="1">
      <c r="A89" s="118" t="s">
        <v>263</v>
      </c>
      <c r="B89" s="119"/>
      <c r="C89" s="119"/>
      <c r="D89" s="119"/>
      <c r="E89" s="119"/>
      <c r="F89" s="120"/>
      <c r="G89" s="28" t="s">
        <v>74</v>
      </c>
      <c r="H89" s="16"/>
      <c r="I89" s="16"/>
      <c r="J89" s="1"/>
      <c r="K89" s="1"/>
    </row>
    <row r="90" spans="1:11" ht="15.75" customHeight="1">
      <c r="A90" s="118" t="s">
        <v>454</v>
      </c>
      <c r="B90" s="119"/>
      <c r="C90" s="119"/>
      <c r="D90" s="119"/>
      <c r="E90" s="119"/>
      <c r="F90" s="120"/>
      <c r="G90" s="28" t="s">
        <v>265</v>
      </c>
      <c r="H90" s="16"/>
      <c r="I90" s="16"/>
      <c r="J90" s="1"/>
      <c r="K90" s="1"/>
    </row>
    <row r="91" spans="1:11" ht="27.75" customHeight="1">
      <c r="A91" s="118" t="s">
        <v>455</v>
      </c>
      <c r="B91" s="119"/>
      <c r="C91" s="119"/>
      <c r="D91" s="119"/>
      <c r="E91" s="119"/>
      <c r="F91" s="120"/>
      <c r="G91" s="28" t="s">
        <v>75</v>
      </c>
      <c r="H91" s="33">
        <f>H42+H73+H88+H89+H90</f>
        <v>6280305.880000004</v>
      </c>
      <c r="I91" s="33">
        <f>I42+I73+I88</f>
        <v>659563.2999999996</v>
      </c>
      <c r="J91" s="1"/>
      <c r="K91" s="1"/>
    </row>
    <row r="92" spans="1:11" ht="12.75">
      <c r="A92" s="118" t="s">
        <v>264</v>
      </c>
      <c r="B92" s="119"/>
      <c r="C92" s="119"/>
      <c r="D92" s="119"/>
      <c r="E92" s="119"/>
      <c r="F92" s="120"/>
      <c r="G92" s="28" t="s">
        <v>76</v>
      </c>
      <c r="H92" s="16">
        <f>5979655.23+1559900+25139</f>
        <v>7564694.23</v>
      </c>
      <c r="I92" s="16">
        <f>3748530.12+1146275+0</f>
        <v>4894805.12</v>
      </c>
      <c r="J92" s="1"/>
      <c r="K92" s="1"/>
    </row>
    <row r="93" spans="1:11" ht="12.75">
      <c r="A93" s="118" t="s">
        <v>266</v>
      </c>
      <c r="B93" s="119"/>
      <c r="C93" s="119"/>
      <c r="D93" s="119"/>
      <c r="E93" s="119"/>
      <c r="F93" s="120"/>
      <c r="G93" s="28" t="s">
        <v>456</v>
      </c>
      <c r="H93" s="16">
        <f>SUM(H91:H92)</f>
        <v>13845000.110000003</v>
      </c>
      <c r="I93" s="16">
        <f>SUM(I91:I92)</f>
        <v>5554368.42</v>
      </c>
      <c r="J93" s="39">
        <v>0</v>
      </c>
      <c r="K93" s="1"/>
    </row>
    <row r="94" spans="1:11" ht="12.75">
      <c r="A94" s="48"/>
      <c r="B94" s="48"/>
      <c r="C94" s="48"/>
      <c r="D94" s="48"/>
      <c r="E94" s="48"/>
      <c r="F94" s="48"/>
      <c r="G94" s="49"/>
      <c r="H94" s="50"/>
      <c r="I94" s="50"/>
      <c r="J94" s="39"/>
      <c r="K94" s="1"/>
    </row>
    <row r="95" spans="1:11" ht="12.75">
      <c r="A95" s="40"/>
      <c r="B95" s="40"/>
      <c r="C95" s="40"/>
      <c r="D95" s="40"/>
      <c r="E95" s="40"/>
      <c r="F95" s="40"/>
      <c r="G95" s="41"/>
      <c r="H95" s="42"/>
      <c r="I95" s="42"/>
      <c r="J95" s="1"/>
      <c r="K95" s="1"/>
    </row>
    <row r="96" spans="1:11" ht="12" customHeight="1">
      <c r="A96" s="5" t="s">
        <v>96</v>
      </c>
      <c r="B96" s="5"/>
      <c r="C96" s="5" t="s">
        <v>301</v>
      </c>
      <c r="D96" s="5"/>
      <c r="E96" s="5"/>
      <c r="F96" s="5"/>
      <c r="G96" s="5" t="s">
        <v>97</v>
      </c>
      <c r="H96" s="5"/>
      <c r="I96" s="4"/>
      <c r="J96" s="1"/>
      <c r="K96" s="1"/>
    </row>
    <row r="97" spans="1:11" ht="12.75">
      <c r="A97" s="7"/>
      <c r="B97" s="7" t="s">
        <v>98</v>
      </c>
      <c r="C97" s="7"/>
      <c r="D97" s="7"/>
      <c r="E97" s="7"/>
      <c r="F97" s="7"/>
      <c r="G97" s="127" t="s">
        <v>82</v>
      </c>
      <c r="H97" s="127"/>
      <c r="I97" s="4"/>
      <c r="J97" s="1"/>
      <c r="K97" s="1"/>
    </row>
    <row r="98" spans="1:11" ht="12.75">
      <c r="A98" s="7"/>
      <c r="B98" s="7"/>
      <c r="C98" s="7"/>
      <c r="D98" s="7"/>
      <c r="E98" s="7"/>
      <c r="F98" s="7"/>
      <c r="G98" s="51"/>
      <c r="H98" s="51"/>
      <c r="I98" s="4"/>
      <c r="J98" s="1"/>
      <c r="K98" s="1"/>
    </row>
    <row r="99" spans="1:11" ht="10.5" customHeight="1">
      <c r="A99" s="5" t="s">
        <v>99</v>
      </c>
      <c r="B99" s="5"/>
      <c r="C99" s="5" t="s">
        <v>108</v>
      </c>
      <c r="D99" s="5"/>
      <c r="E99" s="5"/>
      <c r="F99" s="5"/>
      <c r="G99" s="5" t="s">
        <v>97</v>
      </c>
      <c r="H99" s="5"/>
      <c r="I99" s="4"/>
      <c r="J99" s="1"/>
      <c r="K99" s="1"/>
    </row>
    <row r="100" spans="1:11" ht="12.75">
      <c r="A100" s="4"/>
      <c r="B100" s="4" t="s">
        <v>98</v>
      </c>
      <c r="C100" s="4"/>
      <c r="D100" s="4"/>
      <c r="E100" s="4"/>
      <c r="F100" s="4"/>
      <c r="G100" s="127" t="s">
        <v>82</v>
      </c>
      <c r="H100" s="127"/>
      <c r="I100" s="4"/>
      <c r="J100" s="1"/>
      <c r="K100" s="1"/>
    </row>
    <row r="101" spans="1:11" ht="12.75">
      <c r="A101" s="4"/>
      <c r="B101" s="4"/>
      <c r="C101" s="4"/>
      <c r="D101" s="4"/>
      <c r="E101" s="4"/>
      <c r="F101" s="4"/>
      <c r="G101" s="51"/>
      <c r="H101" s="51"/>
      <c r="I101" s="4"/>
      <c r="J101" s="1"/>
      <c r="K101" s="1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</row>
    <row r="103" spans="1:11" ht="12.75">
      <c r="A103" s="4" t="s">
        <v>101</v>
      </c>
      <c r="B103" s="4"/>
      <c r="C103" s="4"/>
      <c r="D103" s="4"/>
      <c r="E103" s="4"/>
      <c r="F103" s="4"/>
      <c r="G103" s="4"/>
      <c r="H103" s="4"/>
      <c r="I103" s="4"/>
      <c r="J103" s="1"/>
      <c r="K103" s="1"/>
    </row>
    <row r="104" ht="12.75"/>
    <row r="105" ht="12.75"/>
    <row r="107" ht="12.75"/>
    <row r="108" ht="12.75"/>
  </sheetData>
  <sheetProtection/>
  <mergeCells count="77">
    <mergeCell ref="A90:F90"/>
    <mergeCell ref="A21:I21"/>
    <mergeCell ref="A76:F76"/>
    <mergeCell ref="A23:F23"/>
    <mergeCell ref="A25:F25"/>
    <mergeCell ref="A26:F26"/>
    <mergeCell ref="A24:I24"/>
    <mergeCell ref="A29:F29"/>
    <mergeCell ref="A27:F27"/>
    <mergeCell ref="A31:F31"/>
    <mergeCell ref="A28:F28"/>
    <mergeCell ref="A37:F37"/>
    <mergeCell ref="A38:F38"/>
    <mergeCell ref="A39:F39"/>
    <mergeCell ref="A32:F32"/>
    <mergeCell ref="A33:F33"/>
    <mergeCell ref="A34:F34"/>
    <mergeCell ref="A35:F35"/>
    <mergeCell ref="A36:F36"/>
    <mergeCell ref="A54:F54"/>
    <mergeCell ref="A53:F53"/>
    <mergeCell ref="A55:F55"/>
    <mergeCell ref="A44:F44"/>
    <mergeCell ref="A45:F45"/>
    <mergeCell ref="A46:F46"/>
    <mergeCell ref="A47:F47"/>
    <mergeCell ref="A52:F52"/>
    <mergeCell ref="A69:F69"/>
    <mergeCell ref="A70:F70"/>
    <mergeCell ref="A57:F57"/>
    <mergeCell ref="A58:F58"/>
    <mergeCell ref="A59:F59"/>
    <mergeCell ref="A60:F60"/>
    <mergeCell ref="A65:F65"/>
    <mergeCell ref="A68:F68"/>
    <mergeCell ref="A66:F66"/>
    <mergeCell ref="A67:F67"/>
    <mergeCell ref="A79:F79"/>
    <mergeCell ref="E17:I17"/>
    <mergeCell ref="A19:I19"/>
    <mergeCell ref="A20:I20"/>
    <mergeCell ref="A75:F75"/>
    <mergeCell ref="A71:F71"/>
    <mergeCell ref="A72:F72"/>
    <mergeCell ref="A73:F73"/>
    <mergeCell ref="A61:F61"/>
    <mergeCell ref="A62:F62"/>
    <mergeCell ref="G100:H100"/>
    <mergeCell ref="A91:F91"/>
    <mergeCell ref="A92:F92"/>
    <mergeCell ref="A93:F93"/>
    <mergeCell ref="G97:H97"/>
    <mergeCell ref="A30:F30"/>
    <mergeCell ref="A49:F49"/>
    <mergeCell ref="A50:F50"/>
    <mergeCell ref="A51:F51"/>
    <mergeCell ref="A48:F48"/>
    <mergeCell ref="A89:F89"/>
    <mergeCell ref="A56:F56"/>
    <mergeCell ref="A63:F63"/>
    <mergeCell ref="A64:F64"/>
    <mergeCell ref="A86:F86"/>
    <mergeCell ref="A81:F81"/>
    <mergeCell ref="A82:F82"/>
    <mergeCell ref="A83:F83"/>
    <mergeCell ref="A74:I74"/>
    <mergeCell ref="A84:F84"/>
    <mergeCell ref="A85:F85"/>
    <mergeCell ref="A87:F87"/>
    <mergeCell ref="A88:F88"/>
    <mergeCell ref="A80:F80"/>
    <mergeCell ref="A40:F40"/>
    <mergeCell ref="A41:F41"/>
    <mergeCell ref="A42:F42"/>
    <mergeCell ref="A43:I43"/>
    <mergeCell ref="A77:F77"/>
    <mergeCell ref="A78:F78"/>
  </mergeCells>
  <hyperlinks>
    <hyperlink ref="I2" r:id="rId1" display="sub0"/>
  </hyperlinks>
  <printOptions/>
  <pageMargins left="0.1968503937007874" right="0" top="1.3779527559055118" bottom="1.1811023622047245" header="0.1968503937007874" footer="0.1968503937007874"/>
  <pageSetup horizontalDpi="600" verticalDpi="600" orientation="portrait" paperSize="9" scale="95" r:id="rId5"/>
  <headerFooter alignWithMargins="0">
    <oddHeader>&amp;RФорма 3</oddHead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68">
      <selection activeCell="D33" sqref="D33"/>
    </sheetView>
  </sheetViews>
  <sheetFormatPr defaultColWidth="9.00390625" defaultRowHeight="12.75"/>
  <cols>
    <col min="1" max="1" width="49.125" style="44" customWidth="1"/>
    <col min="2" max="2" width="7.25390625" style="44" customWidth="1"/>
    <col min="3" max="3" width="9.625" style="44" bestFit="1" customWidth="1"/>
    <col min="4" max="4" width="9.25390625" style="44" customWidth="1"/>
    <col min="5" max="5" width="10.75390625" style="44" customWidth="1"/>
    <col min="6" max="6" width="14.125" style="44" customWidth="1"/>
    <col min="7" max="7" width="12.25390625" style="44" customWidth="1"/>
    <col min="8" max="8" width="10.75390625" style="44" customWidth="1"/>
    <col min="9" max="9" width="15.625" style="44" customWidth="1"/>
    <col min="10" max="16384" width="9.125" style="44" customWidth="1"/>
  </cols>
  <sheetData>
    <row r="1" spans="1:9" ht="12.75" hidden="1">
      <c r="A1" s="43"/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94" t="s">
        <v>457</v>
      </c>
    </row>
    <row r="3" spans="1:9" ht="12.75">
      <c r="A3" s="43"/>
      <c r="B3" s="43"/>
      <c r="C3" s="43"/>
      <c r="D3" s="43"/>
      <c r="E3" s="43"/>
      <c r="F3" s="43"/>
      <c r="G3" s="43"/>
      <c r="H3" s="43"/>
      <c r="I3" s="95" t="s">
        <v>373</v>
      </c>
    </row>
    <row r="4" spans="1:9" ht="12.75">
      <c r="A4" s="43"/>
      <c r="B4" s="43"/>
      <c r="C4" s="43"/>
      <c r="D4" s="43"/>
      <c r="E4" s="43"/>
      <c r="F4" s="43"/>
      <c r="G4" s="43"/>
      <c r="H4" s="43"/>
      <c r="I4" s="94" t="s">
        <v>374</v>
      </c>
    </row>
    <row r="5" spans="1:9" ht="12.75">
      <c r="A5" s="43"/>
      <c r="B5" s="43"/>
      <c r="C5" s="43"/>
      <c r="D5" s="43"/>
      <c r="E5" s="43"/>
      <c r="F5" s="43"/>
      <c r="G5" s="43"/>
      <c r="H5" s="43"/>
      <c r="I5" s="94" t="s">
        <v>375</v>
      </c>
    </row>
    <row r="6" spans="1:9" ht="12.75">
      <c r="A6" s="43"/>
      <c r="B6" s="43"/>
      <c r="C6" s="43"/>
      <c r="D6" s="43"/>
      <c r="E6" s="43"/>
      <c r="F6" s="43"/>
      <c r="G6" s="43"/>
      <c r="H6" s="43"/>
      <c r="I6" s="94" t="s">
        <v>376</v>
      </c>
    </row>
    <row r="7" spans="1:9" ht="12.75">
      <c r="A7" s="43"/>
      <c r="B7" s="43"/>
      <c r="C7" s="43"/>
      <c r="D7" s="43"/>
      <c r="E7" s="43"/>
      <c r="F7" s="43"/>
      <c r="G7" s="43"/>
      <c r="H7" s="43"/>
      <c r="I7" s="94" t="s">
        <v>377</v>
      </c>
    </row>
    <row r="8" spans="1:9" ht="12.75">
      <c r="A8" s="43"/>
      <c r="B8" s="43"/>
      <c r="C8" s="43"/>
      <c r="D8" s="43"/>
      <c r="E8" s="43"/>
      <c r="F8" s="43"/>
      <c r="G8" s="43"/>
      <c r="H8" s="43"/>
      <c r="I8" s="94" t="s">
        <v>378</v>
      </c>
    </row>
    <row r="9" spans="1:9" ht="12.75">
      <c r="A9" s="43"/>
      <c r="B9" s="43"/>
      <c r="C9" s="43"/>
      <c r="D9" s="43"/>
      <c r="E9" s="43"/>
      <c r="F9" s="43"/>
      <c r="G9" s="43"/>
      <c r="H9" s="43"/>
      <c r="I9" s="94" t="s">
        <v>379</v>
      </c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94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94" t="s">
        <v>289</v>
      </c>
    </row>
    <row r="12" spans="1:9" ht="12.75">
      <c r="A12" s="20"/>
      <c r="B12" s="21"/>
      <c r="C12" s="22"/>
      <c r="D12" s="21"/>
      <c r="E12" s="21"/>
      <c r="F12" s="21"/>
      <c r="G12" s="21"/>
      <c r="H12" s="22"/>
      <c r="I12" s="94" t="s">
        <v>380</v>
      </c>
    </row>
    <row r="13" spans="1:9" ht="12.75">
      <c r="A13" s="20"/>
      <c r="B13" s="21"/>
      <c r="C13" s="22"/>
      <c r="D13" s="21"/>
      <c r="E13" s="21"/>
      <c r="F13" s="21"/>
      <c r="G13" s="21"/>
      <c r="H13" s="22"/>
      <c r="I13" s="94" t="s">
        <v>378</v>
      </c>
    </row>
    <row r="14" spans="1:9" ht="12.75">
      <c r="A14" s="20"/>
      <c r="B14" s="21"/>
      <c r="C14" s="22"/>
      <c r="D14" s="21"/>
      <c r="E14" s="21"/>
      <c r="F14" s="21"/>
      <c r="G14" s="21"/>
      <c r="H14" s="22"/>
      <c r="I14" s="94" t="s">
        <v>302</v>
      </c>
    </row>
    <row r="15" spans="1:9" ht="12.75">
      <c r="A15" s="4"/>
      <c r="B15" s="4"/>
      <c r="C15" s="4"/>
      <c r="D15" s="4"/>
      <c r="E15" s="4"/>
      <c r="F15" s="4"/>
      <c r="G15" s="4"/>
      <c r="H15" s="25"/>
      <c r="I15" s="94" t="s">
        <v>298</v>
      </c>
    </row>
    <row r="16" spans="1:9" ht="3" customHeight="1" hidden="1">
      <c r="A16" s="4" t="s">
        <v>86</v>
      </c>
      <c r="B16" s="4"/>
      <c r="C16" s="4"/>
      <c r="D16" s="5" t="s">
        <v>110</v>
      </c>
      <c r="E16" s="5"/>
      <c r="F16" s="4"/>
      <c r="G16" s="4"/>
      <c r="H16" s="25"/>
      <c r="I16" s="93" t="s">
        <v>298</v>
      </c>
    </row>
    <row r="17" spans="1:9" ht="12.75" customHeight="1">
      <c r="A17" s="4"/>
      <c r="B17" s="4"/>
      <c r="C17" s="4"/>
      <c r="D17" s="4"/>
      <c r="E17" s="4"/>
      <c r="F17" s="4"/>
      <c r="G17" s="4"/>
      <c r="H17" s="25"/>
      <c r="I17" s="9"/>
    </row>
    <row r="18" spans="1:9" ht="15.75" customHeight="1">
      <c r="A18" s="138" t="s">
        <v>479</v>
      </c>
      <c r="B18" s="138"/>
      <c r="C18" s="138"/>
      <c r="D18" s="138"/>
      <c r="E18" s="138"/>
      <c r="F18" s="138"/>
      <c r="G18" s="138"/>
      <c r="H18" s="138"/>
      <c r="I18" s="138"/>
    </row>
    <row r="19" spans="1:9" ht="15.75" customHeight="1">
      <c r="A19" s="139" t="s">
        <v>371</v>
      </c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69"/>
      <c r="B20" s="169"/>
      <c r="C20" s="169"/>
      <c r="D20" s="169"/>
      <c r="E20" s="169"/>
      <c r="F20" s="169"/>
      <c r="G20" s="169"/>
      <c r="H20" s="169"/>
      <c r="I20" s="169"/>
    </row>
    <row r="21" spans="1:9" ht="13.5" customHeight="1" thickBot="1">
      <c r="A21" s="45"/>
      <c r="B21" s="45"/>
      <c r="C21" s="45"/>
      <c r="D21" s="45"/>
      <c r="E21" s="45"/>
      <c r="F21" s="45"/>
      <c r="G21" s="45"/>
      <c r="H21" s="45"/>
      <c r="I21" s="45" t="s">
        <v>296</v>
      </c>
    </row>
    <row r="22" spans="1:9" ht="12.75" customHeight="1" thickBot="1">
      <c r="A22" s="170" t="s">
        <v>267</v>
      </c>
      <c r="B22" s="172" t="s">
        <v>0</v>
      </c>
      <c r="C22" s="164" t="s">
        <v>77</v>
      </c>
      <c r="D22" s="165"/>
      <c r="E22" s="165"/>
      <c r="F22" s="165"/>
      <c r="G22" s="166"/>
      <c r="H22" s="167" t="s">
        <v>179</v>
      </c>
      <c r="I22" s="167" t="s">
        <v>43</v>
      </c>
    </row>
    <row r="23" spans="1:9" ht="64.5" customHeight="1" thickBot="1">
      <c r="A23" s="171"/>
      <c r="B23" s="173"/>
      <c r="C23" s="61" t="s">
        <v>171</v>
      </c>
      <c r="D23" s="61" t="s">
        <v>39</v>
      </c>
      <c r="E23" s="62" t="s">
        <v>41</v>
      </c>
      <c r="F23" s="61" t="s">
        <v>42</v>
      </c>
      <c r="G23" s="61" t="s">
        <v>78</v>
      </c>
      <c r="H23" s="168"/>
      <c r="I23" s="168"/>
    </row>
    <row r="24" spans="1:9" ht="16.5" customHeight="1" thickBot="1">
      <c r="A24" s="65">
        <v>1</v>
      </c>
      <c r="B24" s="66">
        <v>2</v>
      </c>
      <c r="C24" s="66">
        <v>3</v>
      </c>
      <c r="D24" s="66">
        <v>4</v>
      </c>
      <c r="E24" s="66">
        <v>5</v>
      </c>
      <c r="F24" s="66">
        <v>6</v>
      </c>
      <c r="G24" s="66">
        <v>7</v>
      </c>
      <c r="H24" s="66">
        <v>8</v>
      </c>
      <c r="I24" s="66">
        <v>9</v>
      </c>
    </row>
    <row r="25" spans="1:9" ht="12.75" customHeight="1">
      <c r="A25" s="63" t="s">
        <v>109</v>
      </c>
      <c r="B25" s="46">
        <v>10</v>
      </c>
      <c r="C25" s="64">
        <v>78414.3</v>
      </c>
      <c r="D25" s="64"/>
      <c r="E25" s="64"/>
      <c r="F25" s="64">
        <v>15647597</v>
      </c>
      <c r="G25" s="64">
        <v>50291643</v>
      </c>
      <c r="H25" s="64"/>
      <c r="I25" s="64">
        <f>C25+D25+E25+F25+G25+H25</f>
        <v>66017654.3</v>
      </c>
    </row>
    <row r="26" spans="1:9" ht="12.75" customHeight="1">
      <c r="A26" s="59" t="s">
        <v>268</v>
      </c>
      <c r="B26" s="46">
        <v>11</v>
      </c>
      <c r="C26" s="47"/>
      <c r="D26" s="47"/>
      <c r="E26" s="47"/>
      <c r="F26" s="47"/>
      <c r="G26" s="47"/>
      <c r="H26" s="47"/>
      <c r="I26" s="47"/>
    </row>
    <row r="27" spans="1:9" ht="12.75" customHeight="1">
      <c r="A27" s="59" t="s">
        <v>269</v>
      </c>
      <c r="B27" s="58">
        <v>100</v>
      </c>
      <c r="C27" s="60">
        <f aca="true" t="shared" si="0" ref="C27:H27">SUM(C25:C26)</f>
        <v>78414.3</v>
      </c>
      <c r="D27" s="60">
        <f t="shared" si="0"/>
        <v>0</v>
      </c>
      <c r="E27" s="60">
        <f t="shared" si="0"/>
        <v>0</v>
      </c>
      <c r="F27" s="60">
        <f t="shared" si="0"/>
        <v>15647597</v>
      </c>
      <c r="G27" s="60">
        <f t="shared" si="0"/>
        <v>50291643</v>
      </c>
      <c r="H27" s="60">
        <f t="shared" si="0"/>
        <v>0</v>
      </c>
      <c r="I27" s="60">
        <f>I25</f>
        <v>66017654.3</v>
      </c>
    </row>
    <row r="28" spans="1:9" ht="12.75" customHeight="1">
      <c r="A28" s="59" t="s">
        <v>270</v>
      </c>
      <c r="B28" s="58">
        <v>200</v>
      </c>
      <c r="C28" s="60">
        <f aca="true" t="shared" si="1" ref="C28:H28">C29+C30</f>
        <v>0</v>
      </c>
      <c r="D28" s="60">
        <f t="shared" si="1"/>
        <v>0</v>
      </c>
      <c r="E28" s="60">
        <f t="shared" si="1"/>
        <v>0</v>
      </c>
      <c r="F28" s="60">
        <f t="shared" si="1"/>
        <v>-849898</v>
      </c>
      <c r="G28" s="60">
        <f t="shared" si="1"/>
        <v>9929959</v>
      </c>
      <c r="H28" s="60">
        <f t="shared" si="1"/>
        <v>0</v>
      </c>
      <c r="I28" s="60">
        <f>C28+D28+E28+F28+G28+H28</f>
        <v>9080061</v>
      </c>
    </row>
    <row r="29" spans="1:9" ht="12.75" customHeight="1">
      <c r="A29" s="59" t="s">
        <v>271</v>
      </c>
      <c r="B29" s="58">
        <v>210</v>
      </c>
      <c r="C29" s="60"/>
      <c r="D29" s="60"/>
      <c r="E29" s="60"/>
      <c r="F29" s="60"/>
      <c r="G29" s="60">
        <v>9080061</v>
      </c>
      <c r="H29" s="60"/>
      <c r="I29" s="60">
        <f>C29+D29+E29+F29+G29+H29</f>
        <v>9080061</v>
      </c>
    </row>
    <row r="30" spans="1:9" ht="12.75" customHeight="1">
      <c r="A30" s="59" t="s">
        <v>293</v>
      </c>
      <c r="B30" s="58">
        <v>220</v>
      </c>
      <c r="C30" s="60">
        <f aca="true" t="shared" si="2" ref="C30:H30">C32+C33+C34+C35+C36+C37+C38+C39+C40+C41</f>
        <v>0</v>
      </c>
      <c r="D30" s="60">
        <f t="shared" si="2"/>
        <v>0</v>
      </c>
      <c r="E30" s="60">
        <f t="shared" si="2"/>
        <v>0</v>
      </c>
      <c r="F30" s="60">
        <f t="shared" si="2"/>
        <v>-849898</v>
      </c>
      <c r="G30" s="60">
        <f t="shared" si="2"/>
        <v>849898</v>
      </c>
      <c r="H30" s="60">
        <f t="shared" si="2"/>
        <v>0</v>
      </c>
      <c r="I30" s="60">
        <f>C30+D30+E30+F30+G30+H30</f>
        <v>0</v>
      </c>
    </row>
    <row r="31" spans="1:9" ht="15.75" customHeight="1">
      <c r="A31" s="59" t="s">
        <v>196</v>
      </c>
      <c r="B31" s="58"/>
      <c r="C31" s="60"/>
      <c r="D31" s="60"/>
      <c r="E31" s="60"/>
      <c r="F31" s="60"/>
      <c r="G31" s="60"/>
      <c r="H31" s="60"/>
      <c r="I31" s="60"/>
    </row>
    <row r="32" spans="1:9" ht="36.75" customHeight="1">
      <c r="A32" s="59" t="s">
        <v>458</v>
      </c>
      <c r="B32" s="58">
        <v>221</v>
      </c>
      <c r="C32" s="60"/>
      <c r="D32" s="60"/>
      <c r="E32" s="60"/>
      <c r="F32" s="60"/>
      <c r="G32" s="60"/>
      <c r="H32" s="60"/>
      <c r="I32" s="60">
        <f aca="true" t="shared" si="3" ref="I32:I41">C32+D32+E32+F32+G32+H32</f>
        <v>0</v>
      </c>
    </row>
    <row r="33" spans="1:9" ht="36" customHeight="1">
      <c r="A33" s="59" t="s">
        <v>459</v>
      </c>
      <c r="B33" s="58">
        <v>222</v>
      </c>
      <c r="C33" s="60"/>
      <c r="D33" s="60"/>
      <c r="E33" s="60"/>
      <c r="F33" s="60">
        <v>-849898</v>
      </c>
      <c r="G33" s="60">
        <v>849898</v>
      </c>
      <c r="H33" s="60"/>
      <c r="I33" s="60">
        <f t="shared" si="3"/>
        <v>0</v>
      </c>
    </row>
    <row r="34" spans="1:9" ht="25.5" customHeight="1">
      <c r="A34" s="59" t="s">
        <v>460</v>
      </c>
      <c r="B34" s="58">
        <v>223</v>
      </c>
      <c r="C34" s="60"/>
      <c r="D34" s="60"/>
      <c r="E34" s="60"/>
      <c r="F34" s="60"/>
      <c r="G34" s="60"/>
      <c r="H34" s="60"/>
      <c r="I34" s="60">
        <f t="shared" si="3"/>
        <v>0</v>
      </c>
    </row>
    <row r="35" spans="1:9" ht="37.5" customHeight="1">
      <c r="A35" s="59" t="s">
        <v>431</v>
      </c>
      <c r="B35" s="58">
        <v>224</v>
      </c>
      <c r="C35" s="60"/>
      <c r="D35" s="60"/>
      <c r="E35" s="60"/>
      <c r="F35" s="60"/>
      <c r="G35" s="60"/>
      <c r="H35" s="60"/>
      <c r="I35" s="60">
        <f t="shared" si="3"/>
        <v>0</v>
      </c>
    </row>
    <row r="36" spans="1:9" ht="15" customHeight="1">
      <c r="A36" s="59" t="s">
        <v>197</v>
      </c>
      <c r="B36" s="58">
        <v>225</v>
      </c>
      <c r="C36" s="60"/>
      <c r="D36" s="60"/>
      <c r="E36" s="60"/>
      <c r="F36" s="60"/>
      <c r="G36" s="60"/>
      <c r="H36" s="60"/>
      <c r="I36" s="60">
        <f t="shared" si="3"/>
        <v>0</v>
      </c>
    </row>
    <row r="37" spans="1:9" ht="24.75" customHeight="1">
      <c r="A37" s="59" t="s">
        <v>461</v>
      </c>
      <c r="B37" s="58">
        <v>226</v>
      </c>
      <c r="C37" s="60"/>
      <c r="D37" s="60"/>
      <c r="E37" s="60"/>
      <c r="F37" s="60"/>
      <c r="G37" s="60"/>
      <c r="H37" s="60"/>
      <c r="I37" s="60">
        <f t="shared" si="3"/>
        <v>0</v>
      </c>
    </row>
    <row r="38" spans="1:9" ht="25.5" customHeight="1">
      <c r="A38" s="59" t="s">
        <v>272</v>
      </c>
      <c r="B38" s="58">
        <v>227</v>
      </c>
      <c r="C38" s="60"/>
      <c r="D38" s="60"/>
      <c r="E38" s="60"/>
      <c r="F38" s="60"/>
      <c r="G38" s="60"/>
      <c r="H38" s="60"/>
      <c r="I38" s="60">
        <f t="shared" si="3"/>
        <v>0</v>
      </c>
    </row>
    <row r="39" spans="1:9" ht="12.75" customHeight="1">
      <c r="A39" s="59" t="s">
        <v>201</v>
      </c>
      <c r="B39" s="58">
        <v>228</v>
      </c>
      <c r="C39" s="60"/>
      <c r="D39" s="60"/>
      <c r="E39" s="60"/>
      <c r="F39" s="60"/>
      <c r="G39" s="60"/>
      <c r="H39" s="60"/>
      <c r="I39" s="60">
        <f t="shared" si="3"/>
        <v>0</v>
      </c>
    </row>
    <row r="40" spans="1:9" ht="12.75" customHeight="1">
      <c r="A40" s="59" t="s">
        <v>199</v>
      </c>
      <c r="B40" s="58">
        <v>229</v>
      </c>
      <c r="C40" s="60"/>
      <c r="D40" s="60"/>
      <c r="E40" s="60"/>
      <c r="F40" s="60"/>
      <c r="G40" s="60"/>
      <c r="H40" s="60"/>
      <c r="I40" s="60">
        <f t="shared" si="3"/>
        <v>0</v>
      </c>
    </row>
    <row r="41" spans="1:9" ht="12.75" customHeight="1">
      <c r="A41" s="59" t="s">
        <v>294</v>
      </c>
      <c r="B41" s="58">
        <v>230</v>
      </c>
      <c r="C41" s="60"/>
      <c r="D41" s="60"/>
      <c r="E41" s="60"/>
      <c r="F41" s="60"/>
      <c r="G41" s="60"/>
      <c r="H41" s="60"/>
      <c r="I41" s="60">
        <f t="shared" si="3"/>
        <v>0</v>
      </c>
    </row>
    <row r="42" spans="1:9" ht="12.75" customHeight="1">
      <c r="A42" s="59" t="s">
        <v>290</v>
      </c>
      <c r="B42" s="58">
        <v>300</v>
      </c>
      <c r="C42" s="60">
        <f>C44+C49+C50+C51+C52+C53+C54+C55+C56</f>
        <v>0</v>
      </c>
      <c r="D42" s="60">
        <f aca="true" t="shared" si="4" ref="D42:I42">D44+D49+D50+D51+D52+D53+D54+D55+D56+D57</f>
        <v>0</v>
      </c>
      <c r="E42" s="60">
        <f t="shared" si="4"/>
        <v>0</v>
      </c>
      <c r="F42" s="60">
        <f t="shared" si="4"/>
        <v>0</v>
      </c>
      <c r="G42" s="60">
        <f t="shared" si="4"/>
        <v>-2695317</v>
      </c>
      <c r="H42" s="60">
        <f t="shared" si="4"/>
        <v>0</v>
      </c>
      <c r="I42" s="60">
        <f t="shared" si="4"/>
        <v>-2695317</v>
      </c>
    </row>
    <row r="43" spans="1:9" ht="12.75" customHeight="1">
      <c r="A43" s="59" t="s">
        <v>196</v>
      </c>
      <c r="B43" s="58"/>
      <c r="C43" s="60"/>
      <c r="D43" s="60"/>
      <c r="E43" s="60"/>
      <c r="F43" s="60"/>
      <c r="G43" s="60"/>
      <c r="H43" s="60"/>
      <c r="I43" s="60"/>
    </row>
    <row r="44" spans="1:9" ht="12.75" customHeight="1">
      <c r="A44" s="59" t="s">
        <v>287</v>
      </c>
      <c r="B44" s="58">
        <v>310</v>
      </c>
      <c r="C44" s="60"/>
      <c r="D44" s="60"/>
      <c r="E44" s="60"/>
      <c r="F44" s="60"/>
      <c r="G44" s="60"/>
      <c r="H44" s="60"/>
      <c r="I44" s="60">
        <f>C44+D44+E44+F44+G44+H44</f>
        <v>0</v>
      </c>
    </row>
    <row r="45" spans="1:9" ht="12.75" customHeight="1">
      <c r="A45" s="59" t="s">
        <v>196</v>
      </c>
      <c r="B45" s="58"/>
      <c r="C45" s="60"/>
      <c r="D45" s="60"/>
      <c r="E45" s="60"/>
      <c r="F45" s="60"/>
      <c r="G45" s="60"/>
      <c r="H45" s="60"/>
      <c r="I45" s="60"/>
    </row>
    <row r="46" spans="1:9" ht="12.75" customHeight="1">
      <c r="A46" s="59" t="s">
        <v>273</v>
      </c>
      <c r="B46" s="58"/>
      <c r="C46" s="60"/>
      <c r="D46" s="60"/>
      <c r="E46" s="60"/>
      <c r="F46" s="60"/>
      <c r="G46" s="60"/>
      <c r="H46" s="60"/>
      <c r="I46" s="60"/>
    </row>
    <row r="47" spans="1:9" ht="24" customHeight="1">
      <c r="A47" s="59" t="s">
        <v>274</v>
      </c>
      <c r="B47" s="58"/>
      <c r="C47" s="60"/>
      <c r="D47" s="60"/>
      <c r="E47" s="60"/>
      <c r="F47" s="60"/>
      <c r="G47" s="60"/>
      <c r="H47" s="60"/>
      <c r="I47" s="60"/>
    </row>
    <row r="48" spans="1:9" ht="24" customHeight="1">
      <c r="A48" s="59" t="s">
        <v>275</v>
      </c>
      <c r="B48" s="58"/>
      <c r="C48" s="60"/>
      <c r="D48" s="60"/>
      <c r="E48" s="60"/>
      <c r="F48" s="60"/>
      <c r="G48" s="60"/>
      <c r="H48" s="60"/>
      <c r="I48" s="60"/>
    </row>
    <row r="49" spans="1:9" ht="12.75" customHeight="1">
      <c r="A49" s="59" t="s">
        <v>276</v>
      </c>
      <c r="B49" s="58">
        <v>311</v>
      </c>
      <c r="C49" s="60"/>
      <c r="D49" s="60"/>
      <c r="E49" s="60"/>
      <c r="F49" s="60"/>
      <c r="G49" s="60"/>
      <c r="H49" s="60"/>
      <c r="I49" s="60">
        <f>C49+D49+E49+F49+G49+H49</f>
        <v>0</v>
      </c>
    </row>
    <row r="50" spans="1:9" ht="12.75">
      <c r="A50" s="59" t="s">
        <v>277</v>
      </c>
      <c r="B50" s="58">
        <v>312</v>
      </c>
      <c r="C50" s="60"/>
      <c r="D50" s="60"/>
      <c r="E50" s="60"/>
      <c r="F50" s="60"/>
      <c r="G50" s="60"/>
      <c r="H50" s="60"/>
      <c r="I50" s="60">
        <f aca="true" t="shared" si="5" ref="I50:I56">C50+D50+E50+F50+G50+H50</f>
        <v>0</v>
      </c>
    </row>
    <row r="51" spans="1:9" ht="24">
      <c r="A51" s="59" t="s">
        <v>278</v>
      </c>
      <c r="B51" s="58">
        <v>313</v>
      </c>
      <c r="C51" s="60"/>
      <c r="D51" s="60"/>
      <c r="E51" s="60"/>
      <c r="F51" s="60"/>
      <c r="G51" s="60"/>
      <c r="H51" s="60"/>
      <c r="I51" s="60">
        <f t="shared" si="5"/>
        <v>0</v>
      </c>
    </row>
    <row r="52" spans="1:9" ht="26.25" customHeight="1">
      <c r="A52" s="59" t="s">
        <v>279</v>
      </c>
      <c r="B52" s="58">
        <v>314</v>
      </c>
      <c r="C52" s="60"/>
      <c r="D52" s="60"/>
      <c r="E52" s="60"/>
      <c r="F52" s="60"/>
      <c r="G52" s="60"/>
      <c r="H52" s="60"/>
      <c r="I52" s="60">
        <f t="shared" si="5"/>
        <v>0</v>
      </c>
    </row>
    <row r="53" spans="1:9" ht="12.75" customHeight="1">
      <c r="A53" s="59" t="s">
        <v>280</v>
      </c>
      <c r="B53" s="58">
        <v>315</v>
      </c>
      <c r="C53" s="60"/>
      <c r="D53" s="60"/>
      <c r="E53" s="60"/>
      <c r="F53" s="60"/>
      <c r="G53" s="60">
        <v>-2695317</v>
      </c>
      <c r="H53" s="60"/>
      <c r="I53" s="60">
        <f t="shared" si="5"/>
        <v>-2695317</v>
      </c>
    </row>
    <row r="54" spans="1:9" ht="12.75">
      <c r="A54" s="59" t="s">
        <v>281</v>
      </c>
      <c r="B54" s="58">
        <v>316</v>
      </c>
      <c r="C54" s="60"/>
      <c r="D54" s="60"/>
      <c r="E54" s="60"/>
      <c r="F54" s="60"/>
      <c r="G54" s="60"/>
      <c r="H54" s="60"/>
      <c r="I54" s="60">
        <f t="shared" si="5"/>
        <v>0</v>
      </c>
    </row>
    <row r="55" spans="1:9" ht="12.75">
      <c r="A55" s="59" t="s">
        <v>282</v>
      </c>
      <c r="B55" s="58">
        <v>317</v>
      </c>
      <c r="C55" s="60"/>
      <c r="D55" s="60"/>
      <c r="E55" s="60"/>
      <c r="F55" s="60"/>
      <c r="G55" s="60"/>
      <c r="H55" s="60"/>
      <c r="I55" s="60">
        <f t="shared" si="5"/>
        <v>0</v>
      </c>
    </row>
    <row r="56" spans="1:9" ht="24">
      <c r="A56" s="59" t="s">
        <v>283</v>
      </c>
      <c r="B56" s="58">
        <v>318</v>
      </c>
      <c r="C56" s="60"/>
      <c r="D56" s="60"/>
      <c r="E56" s="60"/>
      <c r="F56" s="60"/>
      <c r="G56" s="60"/>
      <c r="H56" s="60"/>
      <c r="I56" s="60">
        <f t="shared" si="5"/>
        <v>0</v>
      </c>
    </row>
    <row r="57" spans="1:9" ht="12.75">
      <c r="A57" s="59" t="s">
        <v>462</v>
      </c>
      <c r="B57" s="58">
        <v>319</v>
      </c>
      <c r="C57" s="60"/>
      <c r="D57" s="60"/>
      <c r="E57" s="60"/>
      <c r="F57" s="60"/>
      <c r="G57" s="60"/>
      <c r="H57" s="60"/>
      <c r="I57" s="60"/>
    </row>
    <row r="58" spans="1:9" ht="24">
      <c r="A58" s="59" t="s">
        <v>463</v>
      </c>
      <c r="B58" s="58">
        <v>400</v>
      </c>
      <c r="C58" s="60">
        <f>C27+C28+C42+C57</f>
        <v>78414.3</v>
      </c>
      <c r="D58" s="60">
        <f aca="true" t="shared" si="6" ref="D58:I58">D27+D28+D42+D57</f>
        <v>0</v>
      </c>
      <c r="E58" s="60">
        <f t="shared" si="6"/>
        <v>0</v>
      </c>
      <c r="F58" s="60">
        <f t="shared" si="6"/>
        <v>14797699</v>
      </c>
      <c r="G58" s="60">
        <f t="shared" si="6"/>
        <v>57526285</v>
      </c>
      <c r="H58" s="60">
        <f t="shared" si="6"/>
        <v>0</v>
      </c>
      <c r="I58" s="60">
        <f t="shared" si="6"/>
        <v>72402398.3</v>
      </c>
    </row>
    <row r="59" spans="1:9" ht="12.75">
      <c r="A59" s="59" t="s">
        <v>268</v>
      </c>
      <c r="B59" s="58">
        <v>401</v>
      </c>
      <c r="C59" s="60"/>
      <c r="D59" s="60"/>
      <c r="E59" s="60"/>
      <c r="F59" s="60"/>
      <c r="G59" s="60"/>
      <c r="H59" s="60"/>
      <c r="I59" s="60">
        <f>C59+D59+E59+F59+G59+H59</f>
        <v>0</v>
      </c>
    </row>
    <row r="60" spans="1:9" ht="12.75">
      <c r="A60" s="59" t="s">
        <v>284</v>
      </c>
      <c r="B60" s="58">
        <v>500</v>
      </c>
      <c r="C60" s="60">
        <f aca="true" t="shared" si="7" ref="C60:H60">SUM(C58:C59)</f>
        <v>78414.3</v>
      </c>
      <c r="D60" s="60">
        <f t="shared" si="7"/>
        <v>0</v>
      </c>
      <c r="E60" s="60">
        <f t="shared" si="7"/>
        <v>0</v>
      </c>
      <c r="F60" s="60">
        <f t="shared" si="7"/>
        <v>14797699</v>
      </c>
      <c r="G60" s="60">
        <f t="shared" si="7"/>
        <v>57526285</v>
      </c>
      <c r="H60" s="60">
        <f t="shared" si="7"/>
        <v>0</v>
      </c>
      <c r="I60" s="60">
        <f>C60+D60+E60+F60+G60+H60</f>
        <v>72402398.3</v>
      </c>
    </row>
    <row r="61" spans="1:9" ht="12.75">
      <c r="A61" s="59" t="s">
        <v>285</v>
      </c>
      <c r="B61" s="58">
        <v>600</v>
      </c>
      <c r="C61" s="60">
        <f aca="true" t="shared" si="8" ref="C61:H61">C62+C63</f>
        <v>0</v>
      </c>
      <c r="D61" s="60">
        <f t="shared" si="8"/>
        <v>0</v>
      </c>
      <c r="E61" s="60">
        <f t="shared" si="8"/>
        <v>0</v>
      </c>
      <c r="F61" s="60">
        <f>F62+F63</f>
        <v>-188876.39</v>
      </c>
      <c r="G61" s="60">
        <f>G62+G63</f>
        <v>4643387.39</v>
      </c>
      <c r="H61" s="60">
        <f t="shared" si="8"/>
        <v>0</v>
      </c>
      <c r="I61" s="60">
        <f>C61+D61+E61+F61+G61+H61</f>
        <v>4454511</v>
      </c>
    </row>
    <row r="62" spans="1:9" ht="12.75">
      <c r="A62" s="59" t="s">
        <v>271</v>
      </c>
      <c r="B62" s="58">
        <v>610</v>
      </c>
      <c r="C62" s="60"/>
      <c r="D62" s="60"/>
      <c r="E62" s="60"/>
      <c r="F62" s="60"/>
      <c r="G62" s="67">
        <v>4454511</v>
      </c>
      <c r="H62" s="60"/>
      <c r="I62" s="60">
        <f>C62+D62+E62+F62+G62+H62</f>
        <v>4454511</v>
      </c>
    </row>
    <row r="63" spans="1:9" ht="17.25" customHeight="1">
      <c r="A63" s="59" t="s">
        <v>464</v>
      </c>
      <c r="B63" s="58">
        <v>620</v>
      </c>
      <c r="C63" s="60">
        <f>C65+C67+C68+C69+C70+C71+C72+C73</f>
        <v>0</v>
      </c>
      <c r="D63" s="60">
        <f aca="true" t="shared" si="9" ref="D63:I63">D65+D67+D68+D69+D70+D71+D72+D73</f>
        <v>0</v>
      </c>
      <c r="E63" s="60">
        <f t="shared" si="9"/>
        <v>0</v>
      </c>
      <c r="F63" s="60">
        <f t="shared" si="9"/>
        <v>-188876.39</v>
      </c>
      <c r="G63" s="60">
        <f t="shared" si="9"/>
        <v>188876.39</v>
      </c>
      <c r="H63" s="60">
        <f t="shared" si="9"/>
        <v>0</v>
      </c>
      <c r="I63" s="60">
        <f t="shared" si="9"/>
        <v>0</v>
      </c>
    </row>
    <row r="64" spans="1:9" ht="12.75">
      <c r="A64" s="59" t="s">
        <v>196</v>
      </c>
      <c r="B64" s="58"/>
      <c r="C64" s="60"/>
      <c r="D64" s="60"/>
      <c r="E64" s="60"/>
      <c r="F64" s="60"/>
      <c r="G64" s="60"/>
      <c r="H64" s="60"/>
      <c r="I64" s="60"/>
    </row>
    <row r="65" spans="1:9" ht="36">
      <c r="A65" s="59" t="s">
        <v>458</v>
      </c>
      <c r="B65" s="58">
        <v>621</v>
      </c>
      <c r="C65" s="60"/>
      <c r="D65" s="60"/>
      <c r="E65" s="60"/>
      <c r="F65" s="60"/>
      <c r="G65" s="60"/>
      <c r="H65" s="60"/>
      <c r="I65" s="60">
        <f>F65</f>
        <v>0</v>
      </c>
    </row>
    <row r="66" spans="1:9" ht="36">
      <c r="A66" s="59" t="s">
        <v>459</v>
      </c>
      <c r="B66" s="58">
        <v>622</v>
      </c>
      <c r="C66" s="60"/>
      <c r="D66" s="60"/>
      <c r="E66" s="60"/>
      <c r="F66" s="60"/>
      <c r="G66" s="60"/>
      <c r="H66" s="60"/>
      <c r="I66" s="60"/>
    </row>
    <row r="67" spans="1:9" ht="27.75" customHeight="1">
      <c r="A67" s="59" t="s">
        <v>460</v>
      </c>
      <c r="B67" s="58">
        <v>623</v>
      </c>
      <c r="C67" s="60"/>
      <c r="D67" s="60"/>
      <c r="E67" s="60"/>
      <c r="F67" s="67">
        <v>-188876.39</v>
      </c>
      <c r="G67" s="67">
        <v>188876.39</v>
      </c>
      <c r="H67" s="60"/>
      <c r="I67" s="60">
        <f>C67+D67+E67+F67+G67+H67</f>
        <v>0</v>
      </c>
    </row>
    <row r="68" spans="1:9" ht="39.75" customHeight="1">
      <c r="A68" s="59" t="s">
        <v>431</v>
      </c>
      <c r="B68" s="58">
        <v>624</v>
      </c>
      <c r="C68" s="60"/>
      <c r="D68" s="60"/>
      <c r="E68" s="60"/>
      <c r="F68" s="60"/>
      <c r="G68" s="60"/>
      <c r="H68" s="60"/>
      <c r="I68" s="60">
        <f aca="true" t="shared" si="10" ref="I68:I74">C68+D68+E68+F68+G68+H68</f>
        <v>0</v>
      </c>
    </row>
    <row r="69" spans="1:9" ht="12.75">
      <c r="A69" s="59" t="s">
        <v>197</v>
      </c>
      <c r="B69" s="58">
        <v>625</v>
      </c>
      <c r="C69" s="60"/>
      <c r="D69" s="60"/>
      <c r="E69" s="60"/>
      <c r="F69" s="60"/>
      <c r="G69" s="60"/>
      <c r="H69" s="60"/>
      <c r="I69" s="60">
        <f t="shared" si="10"/>
        <v>0</v>
      </c>
    </row>
    <row r="70" spans="1:9" ht="24">
      <c r="A70" s="59" t="s">
        <v>461</v>
      </c>
      <c r="B70" s="58">
        <v>626</v>
      </c>
      <c r="C70" s="60"/>
      <c r="D70" s="60"/>
      <c r="E70" s="60"/>
      <c r="F70" s="60"/>
      <c r="G70" s="60"/>
      <c r="H70" s="60"/>
      <c r="I70" s="60">
        <f t="shared" si="10"/>
        <v>0</v>
      </c>
    </row>
    <row r="71" spans="1:9" ht="24">
      <c r="A71" s="59" t="s">
        <v>272</v>
      </c>
      <c r="B71" s="58">
        <v>627</v>
      </c>
      <c r="C71" s="60"/>
      <c r="D71" s="60"/>
      <c r="E71" s="60"/>
      <c r="F71" s="60"/>
      <c r="G71" s="60"/>
      <c r="H71" s="60"/>
      <c r="I71" s="60">
        <f t="shared" si="10"/>
        <v>0</v>
      </c>
    </row>
    <row r="72" spans="1:9" ht="12.75">
      <c r="A72" s="59" t="s">
        <v>201</v>
      </c>
      <c r="B72" s="58">
        <v>628</v>
      </c>
      <c r="C72" s="60"/>
      <c r="D72" s="60"/>
      <c r="E72" s="60"/>
      <c r="F72" s="60"/>
      <c r="G72" s="60"/>
      <c r="H72" s="60"/>
      <c r="I72" s="60">
        <f t="shared" si="10"/>
        <v>0</v>
      </c>
    </row>
    <row r="73" spans="1:9" ht="12.75">
      <c r="A73" s="59" t="s">
        <v>199</v>
      </c>
      <c r="B73" s="58">
        <v>629</v>
      </c>
      <c r="C73" s="60"/>
      <c r="D73" s="60"/>
      <c r="E73" s="60"/>
      <c r="F73" s="60"/>
      <c r="G73" s="60"/>
      <c r="H73" s="60"/>
      <c r="I73" s="60">
        <f t="shared" si="10"/>
        <v>0</v>
      </c>
    </row>
    <row r="74" spans="1:9" ht="12.75">
      <c r="A74" s="59" t="s">
        <v>286</v>
      </c>
      <c r="B74" s="58">
        <v>700</v>
      </c>
      <c r="C74" s="60">
        <f aca="true" t="shared" si="11" ref="C74:H74">C76+C81+C82+C83+C84+C85+C86+C87+C88</f>
        <v>0</v>
      </c>
      <c r="D74" s="60">
        <f t="shared" si="11"/>
        <v>0</v>
      </c>
      <c r="E74" s="60">
        <f t="shared" si="11"/>
        <v>0</v>
      </c>
      <c r="F74" s="60">
        <f t="shared" si="11"/>
        <v>0</v>
      </c>
      <c r="G74" s="60">
        <f t="shared" si="11"/>
        <v>0</v>
      </c>
      <c r="H74" s="60">
        <f t="shared" si="11"/>
        <v>0</v>
      </c>
      <c r="I74" s="60">
        <f t="shared" si="10"/>
        <v>0</v>
      </c>
    </row>
    <row r="75" spans="1:9" ht="12.75">
      <c r="A75" s="59" t="s">
        <v>196</v>
      </c>
      <c r="B75" s="58"/>
      <c r="C75" s="60"/>
      <c r="D75" s="60"/>
      <c r="E75" s="60"/>
      <c r="F75" s="60"/>
      <c r="G75" s="60"/>
      <c r="H75" s="60"/>
      <c r="I75" s="60"/>
    </row>
    <row r="76" spans="1:9" ht="12.75">
      <c r="A76" s="59" t="s">
        <v>287</v>
      </c>
      <c r="B76" s="58">
        <v>710</v>
      </c>
      <c r="C76" s="60"/>
      <c r="D76" s="60"/>
      <c r="E76" s="60"/>
      <c r="F76" s="60"/>
      <c r="G76" s="60"/>
      <c r="H76" s="60"/>
      <c r="I76" s="60">
        <f>C76+D76+E76+F76+G76+H76</f>
        <v>0</v>
      </c>
    </row>
    <row r="77" spans="1:9" ht="12.75">
      <c r="A77" s="59" t="s">
        <v>196</v>
      </c>
      <c r="B77" s="58"/>
      <c r="C77" s="60"/>
      <c r="D77" s="60"/>
      <c r="E77" s="60"/>
      <c r="F77" s="60"/>
      <c r="G77" s="60"/>
      <c r="H77" s="60"/>
      <c r="I77" s="60"/>
    </row>
    <row r="78" spans="1:9" ht="12.75">
      <c r="A78" s="59" t="s">
        <v>273</v>
      </c>
      <c r="B78" s="58"/>
      <c r="C78" s="60"/>
      <c r="D78" s="60"/>
      <c r="E78" s="60"/>
      <c r="F78" s="60"/>
      <c r="G78" s="60"/>
      <c r="H78" s="60"/>
      <c r="I78" s="60"/>
    </row>
    <row r="79" spans="1:9" ht="12.75">
      <c r="A79" s="59" t="s">
        <v>274</v>
      </c>
      <c r="B79" s="58"/>
      <c r="C79" s="60"/>
      <c r="D79" s="60"/>
      <c r="E79" s="60"/>
      <c r="F79" s="60"/>
      <c r="G79" s="60"/>
      <c r="H79" s="60"/>
      <c r="I79" s="60"/>
    </row>
    <row r="80" spans="1:9" ht="24">
      <c r="A80" s="59" t="s">
        <v>275</v>
      </c>
      <c r="B80" s="58"/>
      <c r="C80" s="60"/>
      <c r="D80" s="60"/>
      <c r="E80" s="60"/>
      <c r="F80" s="60"/>
      <c r="G80" s="60"/>
      <c r="H80" s="60"/>
      <c r="I80" s="60"/>
    </row>
    <row r="81" spans="1:9" ht="12.75">
      <c r="A81" s="59" t="s">
        <v>276</v>
      </c>
      <c r="B81" s="58">
        <v>711</v>
      </c>
      <c r="C81" s="60"/>
      <c r="D81" s="60"/>
      <c r="E81" s="60"/>
      <c r="F81" s="60"/>
      <c r="G81" s="60"/>
      <c r="H81" s="60"/>
      <c r="I81" s="60">
        <f>C81+D81+E81+F81+G81+H81</f>
        <v>0</v>
      </c>
    </row>
    <row r="82" spans="1:9" ht="12.75">
      <c r="A82" s="59" t="s">
        <v>277</v>
      </c>
      <c r="B82" s="58">
        <v>712</v>
      </c>
      <c r="C82" s="60"/>
      <c r="D82" s="60"/>
      <c r="E82" s="60"/>
      <c r="F82" s="60"/>
      <c r="G82" s="60"/>
      <c r="H82" s="60"/>
      <c r="I82" s="60">
        <f aca="true" t="shared" si="12" ref="I82:I88">C82+D82+E82+F82+G82+H82</f>
        <v>0</v>
      </c>
    </row>
    <row r="83" spans="1:9" ht="24">
      <c r="A83" s="59" t="s">
        <v>288</v>
      </c>
      <c r="B83" s="58">
        <v>713</v>
      </c>
      <c r="C83" s="60"/>
      <c r="D83" s="60"/>
      <c r="E83" s="60"/>
      <c r="F83" s="60"/>
      <c r="G83" s="60"/>
      <c r="H83" s="60"/>
      <c r="I83" s="60">
        <f t="shared" si="12"/>
        <v>0</v>
      </c>
    </row>
    <row r="84" spans="1:9" ht="24">
      <c r="A84" s="59" t="s">
        <v>279</v>
      </c>
      <c r="B84" s="58">
        <v>714</v>
      </c>
      <c r="C84" s="60"/>
      <c r="D84" s="60"/>
      <c r="E84" s="60"/>
      <c r="F84" s="60"/>
      <c r="G84" s="60"/>
      <c r="H84" s="60"/>
      <c r="I84" s="60">
        <f t="shared" si="12"/>
        <v>0</v>
      </c>
    </row>
    <row r="85" spans="1:9" ht="12.75">
      <c r="A85" s="59" t="s">
        <v>280</v>
      </c>
      <c r="B85" s="58">
        <v>715</v>
      </c>
      <c r="C85" s="60"/>
      <c r="D85" s="60"/>
      <c r="E85" s="60"/>
      <c r="F85" s="60"/>
      <c r="G85" s="60"/>
      <c r="H85" s="60"/>
      <c r="I85" s="60">
        <f t="shared" si="12"/>
        <v>0</v>
      </c>
    </row>
    <row r="86" spans="1:9" ht="12.75">
      <c r="A86" s="59" t="s">
        <v>281</v>
      </c>
      <c r="B86" s="58">
        <v>716</v>
      </c>
      <c r="C86" s="60"/>
      <c r="D86" s="60"/>
      <c r="E86" s="60"/>
      <c r="F86" s="60"/>
      <c r="G86" s="60"/>
      <c r="H86" s="60"/>
      <c r="I86" s="60">
        <f t="shared" si="12"/>
        <v>0</v>
      </c>
    </row>
    <row r="87" spans="1:9" ht="12.75">
      <c r="A87" s="59" t="s">
        <v>282</v>
      </c>
      <c r="B87" s="58">
        <v>717</v>
      </c>
      <c r="C87" s="60"/>
      <c r="D87" s="60"/>
      <c r="E87" s="60"/>
      <c r="F87" s="60"/>
      <c r="G87" s="60"/>
      <c r="H87" s="60"/>
      <c r="I87" s="60">
        <f t="shared" si="12"/>
        <v>0</v>
      </c>
    </row>
    <row r="88" spans="1:9" ht="24">
      <c r="A88" s="59" t="s">
        <v>283</v>
      </c>
      <c r="B88" s="58">
        <v>718</v>
      </c>
      <c r="C88" s="60"/>
      <c r="D88" s="60"/>
      <c r="E88" s="60"/>
      <c r="F88" s="60"/>
      <c r="G88" s="60"/>
      <c r="H88" s="60"/>
      <c r="I88" s="60">
        <f t="shared" si="12"/>
        <v>0</v>
      </c>
    </row>
    <row r="89" spans="1:9" ht="24">
      <c r="A89" s="59" t="s">
        <v>300</v>
      </c>
      <c r="B89" s="58">
        <v>800</v>
      </c>
      <c r="C89" s="60">
        <f>C60+C61+C74</f>
        <v>78414.3</v>
      </c>
      <c r="D89" s="60"/>
      <c r="E89" s="60"/>
      <c r="F89" s="60">
        <f>F60+F61+F74</f>
        <v>14608822.61</v>
      </c>
      <c r="G89" s="60">
        <f>G60+G61+G74</f>
        <v>62169672.39</v>
      </c>
      <c r="H89" s="60"/>
      <c r="I89" s="60">
        <f>I60+I61+I74</f>
        <v>76856909.3</v>
      </c>
    </row>
    <row r="92" spans="1:9" ht="12.75">
      <c r="A92" s="7"/>
      <c r="B92" s="7"/>
      <c r="C92" s="7"/>
      <c r="D92" s="7"/>
      <c r="E92" s="7"/>
      <c r="F92" s="7"/>
      <c r="G92" s="7"/>
      <c r="H92" s="7"/>
      <c r="I92" s="4"/>
    </row>
    <row r="93" spans="1:9" ht="12.75">
      <c r="A93" s="5" t="s">
        <v>291</v>
      </c>
      <c r="B93" s="5"/>
      <c r="C93" s="5" t="s">
        <v>301</v>
      </c>
      <c r="D93" s="5"/>
      <c r="E93" s="5"/>
      <c r="F93" s="5"/>
      <c r="G93" s="5" t="s">
        <v>97</v>
      </c>
      <c r="H93" s="5"/>
      <c r="I93" s="4"/>
    </row>
    <row r="94" spans="1:9" ht="10.5" customHeight="1">
      <c r="A94" s="7"/>
      <c r="B94" s="7" t="s">
        <v>98</v>
      </c>
      <c r="C94" s="7"/>
      <c r="D94" s="7"/>
      <c r="E94" s="7"/>
      <c r="F94" s="7"/>
      <c r="G94" s="127" t="s">
        <v>82</v>
      </c>
      <c r="H94" s="127"/>
      <c r="I94" s="4"/>
    </row>
    <row r="95" spans="1:9" ht="22.5" customHeight="1">
      <c r="A95" s="5" t="s">
        <v>292</v>
      </c>
      <c r="B95" s="5"/>
      <c r="C95" s="5" t="s">
        <v>100</v>
      </c>
      <c r="D95" s="5"/>
      <c r="E95" s="5"/>
      <c r="F95" s="5"/>
      <c r="G95" s="5" t="s">
        <v>97</v>
      </c>
      <c r="H95" s="5"/>
      <c r="I95" s="4"/>
    </row>
    <row r="96" spans="1:9" ht="12.75">
      <c r="A96" s="4"/>
      <c r="B96" s="4" t="s">
        <v>98</v>
      </c>
      <c r="C96" s="4"/>
      <c r="D96" s="4"/>
      <c r="E96" s="4"/>
      <c r="F96" s="4"/>
      <c r="G96" s="127" t="s">
        <v>82</v>
      </c>
      <c r="H96" s="127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 t="s">
        <v>101</v>
      </c>
      <c r="B98" s="4"/>
      <c r="C98" s="4"/>
      <c r="D98" s="4"/>
      <c r="E98" s="4"/>
      <c r="F98" s="4"/>
      <c r="G98" s="4"/>
      <c r="H98" s="4"/>
      <c r="I98" s="4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</sheetData>
  <sheetProtection/>
  <mergeCells count="10">
    <mergeCell ref="G94:H94"/>
    <mergeCell ref="G96:H96"/>
    <mergeCell ref="C22:G22"/>
    <mergeCell ref="H22:H23"/>
    <mergeCell ref="I22:I23"/>
    <mergeCell ref="A18:I18"/>
    <mergeCell ref="A19:I19"/>
    <mergeCell ref="A20:I20"/>
    <mergeCell ref="A22:A23"/>
    <mergeCell ref="B22:B23"/>
  </mergeCells>
  <hyperlinks>
    <hyperlink ref="I3" r:id="rId1" display="sub0"/>
  </hyperlinks>
  <printOptions/>
  <pageMargins left="0.35433070866141736" right="0.1968503937007874" top="0.3937007874015748" bottom="0.7874015748031497" header="0.1968503937007874" footer="0.1968503937007874"/>
  <pageSetup horizontalDpi="600" verticalDpi="600" orientation="landscape" paperSize="9" scale="80" r:id="rId3"/>
  <rowBreaks count="2" manualBreakCount="2">
    <brk id="37" max="8" man="1"/>
    <brk id="73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55">
      <selection activeCell="J108" sqref="J108"/>
    </sheetView>
  </sheetViews>
  <sheetFormatPr defaultColWidth="9.00390625" defaultRowHeight="12.75"/>
  <cols>
    <col min="1" max="1" width="47.375" style="0" customWidth="1"/>
    <col min="2" max="2" width="11.75390625" style="70" customWidth="1"/>
    <col min="3" max="3" width="11.75390625" style="78" customWidth="1"/>
    <col min="4" max="9" width="11.75390625" style="0" customWidth="1"/>
    <col min="10" max="10" width="18.75390625" style="0" customWidth="1"/>
    <col min="11" max="11" width="17.375" style="0" customWidth="1"/>
    <col min="12" max="12" width="11.375" style="0" customWidth="1"/>
  </cols>
  <sheetData>
    <row r="1" spans="2:9" ht="12.75">
      <c r="B1" s="174" t="s">
        <v>305</v>
      </c>
      <c r="C1" s="174"/>
      <c r="D1" s="174" t="s">
        <v>467</v>
      </c>
      <c r="E1" s="174"/>
      <c r="F1" s="174" t="s">
        <v>468</v>
      </c>
      <c r="G1" s="174"/>
      <c r="H1" s="174" t="s">
        <v>306</v>
      </c>
      <c r="I1" s="174"/>
    </row>
    <row r="2" spans="2:9" ht="12.75">
      <c r="B2" s="69">
        <v>43921</v>
      </c>
      <c r="C2" s="69">
        <v>43830</v>
      </c>
      <c r="D2" s="69">
        <v>43921</v>
      </c>
      <c r="E2" s="69">
        <v>43830</v>
      </c>
      <c r="F2" s="69">
        <v>43921</v>
      </c>
      <c r="G2" s="69">
        <v>43830</v>
      </c>
      <c r="H2" s="69">
        <v>43921</v>
      </c>
      <c r="I2" s="69">
        <v>43830</v>
      </c>
    </row>
    <row r="3" spans="1:7" ht="12.75">
      <c r="A3" s="71" t="s">
        <v>303</v>
      </c>
      <c r="B3" s="72">
        <f aca="true" t="shared" si="0" ref="B3:G3">B4+B32</f>
        <v>78555212.19</v>
      </c>
      <c r="C3" s="72">
        <f t="shared" si="0"/>
        <v>74479838.28999999</v>
      </c>
      <c r="D3" s="72">
        <f t="shared" si="0"/>
        <v>0</v>
      </c>
      <c r="E3" s="72">
        <f t="shared" si="0"/>
        <v>0</v>
      </c>
      <c r="F3" s="72">
        <f t="shared" si="0"/>
        <v>0</v>
      </c>
      <c r="G3" s="72">
        <f t="shared" si="0"/>
        <v>0</v>
      </c>
    </row>
    <row r="4" spans="1:3" ht="12.75">
      <c r="A4" s="73" t="s">
        <v>304</v>
      </c>
      <c r="B4" s="74">
        <f>B8+B14+B25</f>
        <v>19757904.83</v>
      </c>
      <c r="C4" s="74">
        <f>C8+C14+C25</f>
        <v>15168904.18</v>
      </c>
    </row>
    <row r="5" spans="1:3" ht="12.75">
      <c r="A5" s="75" t="s">
        <v>117</v>
      </c>
      <c r="B5" s="69">
        <v>43921</v>
      </c>
      <c r="C5" s="69">
        <v>43830</v>
      </c>
    </row>
    <row r="6" spans="1:9" ht="28.5">
      <c r="A6" s="77" t="s">
        <v>309</v>
      </c>
      <c r="B6" s="78">
        <f>1868.2+17606.05+56096.75+34246.28+1500000+0.4+592126.35+1597.98+11131770</f>
        <v>13335312.01</v>
      </c>
      <c r="C6" s="79">
        <f>6745+14187.08+154632.86+4289.92+158485.92+0.4+5477504.91+132985.62+20600.82</f>
        <v>5969432.53</v>
      </c>
      <c r="D6">
        <v>459779</v>
      </c>
      <c r="E6">
        <v>1553519</v>
      </c>
      <c r="F6">
        <v>16282</v>
      </c>
      <c r="G6">
        <v>25139</v>
      </c>
      <c r="H6" s="70">
        <f aca="true" t="shared" si="1" ref="H6:I8">B6+D6+F6</f>
        <v>13811373.01</v>
      </c>
      <c r="I6" s="70">
        <f t="shared" si="1"/>
        <v>7548090.53</v>
      </c>
    </row>
    <row r="7" spans="1:9" ht="14.25">
      <c r="A7" s="77" t="s">
        <v>310</v>
      </c>
      <c r="B7" s="78">
        <f>3285.22+6276.86+604+8583.24+23</f>
        <v>18772.32</v>
      </c>
      <c r="C7" s="79">
        <f>809.95+2394.37+6831.14+187.23</f>
        <v>10222.689999999999</v>
      </c>
      <c r="D7">
        <v>14855</v>
      </c>
      <c r="E7">
        <v>6381</v>
      </c>
      <c r="H7" s="70">
        <f t="shared" si="1"/>
        <v>33627.32</v>
      </c>
      <c r="I7" s="70">
        <f t="shared" si="1"/>
        <v>16603.69</v>
      </c>
    </row>
    <row r="8" spans="1:9" ht="12.75">
      <c r="A8" s="80" t="s">
        <v>311</v>
      </c>
      <c r="B8" s="76">
        <f aca="true" t="shared" si="2" ref="B8:G8">SUM(B6:B7)</f>
        <v>13354084.33</v>
      </c>
      <c r="C8" s="76">
        <f t="shared" si="2"/>
        <v>5979655.220000001</v>
      </c>
      <c r="D8" s="76">
        <f t="shared" si="2"/>
        <v>474634</v>
      </c>
      <c r="E8" s="76">
        <f t="shared" si="2"/>
        <v>1559900</v>
      </c>
      <c r="F8" s="76">
        <f t="shared" si="2"/>
        <v>16282</v>
      </c>
      <c r="G8" s="76">
        <f t="shared" si="2"/>
        <v>25139</v>
      </c>
      <c r="H8" s="76">
        <f t="shared" si="1"/>
        <v>13845000.33</v>
      </c>
      <c r="I8" s="76">
        <f t="shared" si="1"/>
        <v>7564694.220000001</v>
      </c>
    </row>
    <row r="9" spans="1:2" ht="12.75">
      <c r="A9" s="80"/>
      <c r="B9" s="78"/>
    </row>
    <row r="10" spans="1:2" ht="12.75">
      <c r="A10" s="81" t="s">
        <v>312</v>
      </c>
      <c r="B10" s="78"/>
    </row>
    <row r="11" spans="1:9" ht="12.75">
      <c r="A11" s="80"/>
      <c r="B11" s="69">
        <v>43921</v>
      </c>
      <c r="C11" s="69">
        <v>43830</v>
      </c>
      <c r="D11" s="69">
        <v>43921</v>
      </c>
      <c r="E11" s="69">
        <v>43830</v>
      </c>
      <c r="F11" s="69">
        <v>43921</v>
      </c>
      <c r="G11" s="69">
        <v>43830</v>
      </c>
      <c r="H11" s="69">
        <v>43921</v>
      </c>
      <c r="I11" s="69">
        <v>43830</v>
      </c>
    </row>
    <row r="12" spans="1:9" ht="14.25">
      <c r="A12" s="77" t="s">
        <v>313</v>
      </c>
      <c r="B12" s="78">
        <f>501455.04+673115.91+395293.71</f>
        <v>1569864.66</v>
      </c>
      <c r="C12" s="78">
        <f>1162773.16+145176.81+251390.4</f>
        <v>1559340.3699999999</v>
      </c>
      <c r="D12" s="78">
        <v>20437</v>
      </c>
      <c r="E12" s="78">
        <v>72208</v>
      </c>
      <c r="F12">
        <v>0</v>
      </c>
      <c r="G12" s="78">
        <v>0</v>
      </c>
      <c r="H12" s="70">
        <f>B12+D12+F12</f>
        <v>1590301.66</v>
      </c>
      <c r="I12" s="70">
        <f>C12+E12+G12</f>
        <v>1631548.3699999999</v>
      </c>
    </row>
    <row r="13" spans="1:9" ht="14.25">
      <c r="A13" s="82" t="s">
        <v>314</v>
      </c>
      <c r="B13" s="78">
        <f>B14-B12</f>
        <v>617630.1799999999</v>
      </c>
      <c r="C13" s="78">
        <f>C14-C12</f>
        <v>606639.6799999999</v>
      </c>
      <c r="D13">
        <v>0</v>
      </c>
      <c r="E13" s="78">
        <v>0</v>
      </c>
      <c r="F13">
        <v>0</v>
      </c>
      <c r="G13" s="78">
        <v>0</v>
      </c>
      <c r="H13" s="70">
        <f>B13+D13+F13</f>
        <v>617630.1799999999</v>
      </c>
      <c r="I13" s="70">
        <f>C13+E13+G13</f>
        <v>606639.6799999999</v>
      </c>
    </row>
    <row r="14" spans="1:11" ht="12.75">
      <c r="A14" s="80" t="s">
        <v>311</v>
      </c>
      <c r="B14" s="76">
        <v>2187494.84</v>
      </c>
      <c r="C14" s="76">
        <v>2165980.05</v>
      </c>
      <c r="D14" s="76">
        <f>SUM(D12:D13)</f>
        <v>20437</v>
      </c>
      <c r="E14" s="76">
        <f>SUM(E12:E13)</f>
        <v>72208</v>
      </c>
      <c r="F14" s="76">
        <f>SUM(F12:F13)</f>
        <v>0</v>
      </c>
      <c r="G14" s="76">
        <f>SUM(G12:G13)</f>
        <v>0</v>
      </c>
      <c r="H14" s="76">
        <f>B14+D14+F14-J14</f>
        <v>2204978.84</v>
      </c>
      <c r="I14" s="76">
        <f>C14+E14+G14-K14</f>
        <v>2217944.05</v>
      </c>
      <c r="J14">
        <v>2953</v>
      </c>
      <c r="K14">
        <v>20244</v>
      </c>
    </row>
    <row r="16" ht="12.75">
      <c r="A16" s="75" t="s">
        <v>4</v>
      </c>
    </row>
    <row r="17" spans="2:9" ht="12.75">
      <c r="B17" s="69">
        <v>43921</v>
      </c>
      <c r="C17" s="69">
        <v>43830</v>
      </c>
      <c r="D17" s="69">
        <v>43921</v>
      </c>
      <c r="E17" s="69">
        <v>43830</v>
      </c>
      <c r="F17" s="69">
        <v>43921</v>
      </c>
      <c r="G17" s="69">
        <v>43830</v>
      </c>
      <c r="H17" s="69">
        <v>43921</v>
      </c>
      <c r="I17" s="69">
        <v>43830</v>
      </c>
    </row>
    <row r="18" spans="2:9" ht="12.75">
      <c r="B18" s="78">
        <v>0</v>
      </c>
      <c r="C18" s="78">
        <v>0</v>
      </c>
      <c r="D18" s="78">
        <v>35250</v>
      </c>
      <c r="E18" s="99">
        <v>50334</v>
      </c>
      <c r="F18" s="78">
        <v>0</v>
      </c>
      <c r="G18" s="78">
        <v>0</v>
      </c>
      <c r="H18" s="78">
        <f>B18+D18</f>
        <v>35250</v>
      </c>
      <c r="I18" s="78">
        <f>C18+E18</f>
        <v>50334</v>
      </c>
    </row>
    <row r="19" spans="1:9" ht="14.25">
      <c r="A19" s="82" t="s">
        <v>315</v>
      </c>
      <c r="B19" s="78">
        <v>579498.15</v>
      </c>
      <c r="C19" s="78">
        <v>590743.97</v>
      </c>
      <c r="D19" s="78">
        <v>25157</v>
      </c>
      <c r="E19" s="99">
        <v>43202</v>
      </c>
      <c r="F19">
        <v>0</v>
      </c>
      <c r="G19">
        <v>0</v>
      </c>
      <c r="H19" s="78">
        <f aca="true" t="shared" si="3" ref="H19:H24">B19+D19</f>
        <v>604655.15</v>
      </c>
      <c r="I19" s="78">
        <f aca="true" t="shared" si="4" ref="I19:I24">C19+E19</f>
        <v>633945.97</v>
      </c>
    </row>
    <row r="20" spans="1:9" ht="14.25">
      <c r="A20" s="82" t="s">
        <v>316</v>
      </c>
      <c r="B20" s="78">
        <v>136942.59</v>
      </c>
      <c r="C20" s="78">
        <v>246231.33</v>
      </c>
      <c r="D20" s="78">
        <v>453</v>
      </c>
      <c r="E20" s="99">
        <v>532</v>
      </c>
      <c r="F20">
        <v>0</v>
      </c>
      <c r="G20">
        <v>0</v>
      </c>
      <c r="H20" s="78">
        <f t="shared" si="3"/>
        <v>137395.59</v>
      </c>
      <c r="I20" s="78">
        <f t="shared" si="4"/>
        <v>246763.33</v>
      </c>
    </row>
    <row r="21" spans="1:9" ht="14.25">
      <c r="A21" s="82" t="s">
        <v>317</v>
      </c>
      <c r="B21" s="78">
        <v>1079908.46</v>
      </c>
      <c r="C21" s="78">
        <v>1124218.84</v>
      </c>
      <c r="D21" s="78">
        <v>1402</v>
      </c>
      <c r="E21" s="99">
        <v>1522</v>
      </c>
      <c r="F21">
        <v>0</v>
      </c>
      <c r="G21">
        <v>0</v>
      </c>
      <c r="H21" s="78">
        <f t="shared" si="3"/>
        <v>1081310.46</v>
      </c>
      <c r="I21" s="78">
        <f t="shared" si="4"/>
        <v>1125740.84</v>
      </c>
    </row>
    <row r="22" spans="1:9" ht="14.25">
      <c r="A22" s="82" t="s">
        <v>318</v>
      </c>
      <c r="B22" s="78">
        <v>1966196.62</v>
      </c>
      <c r="C22" s="78">
        <v>4660377.08</v>
      </c>
      <c r="D22" s="78">
        <v>0</v>
      </c>
      <c r="E22" s="99">
        <v>0</v>
      </c>
      <c r="F22">
        <v>0</v>
      </c>
      <c r="G22">
        <v>0</v>
      </c>
      <c r="H22" s="78">
        <f t="shared" si="3"/>
        <v>1966196.62</v>
      </c>
      <c r="I22" s="78">
        <f t="shared" si="4"/>
        <v>4660377.08</v>
      </c>
    </row>
    <row r="23" spans="1:9" ht="14.25">
      <c r="A23" s="82" t="s">
        <v>319</v>
      </c>
      <c r="B23" s="78">
        <f>69494.97+6436.25+3164.84</f>
        <v>79096.06</v>
      </c>
      <c r="C23" s="78">
        <f>84275.08+8613.17+2997.59</f>
        <v>95885.84</v>
      </c>
      <c r="D23" s="78">
        <v>9098</v>
      </c>
      <c r="E23" s="99">
        <v>8188</v>
      </c>
      <c r="F23">
        <v>0</v>
      </c>
      <c r="G23">
        <v>0</v>
      </c>
      <c r="H23" s="78">
        <f t="shared" si="3"/>
        <v>88194.06</v>
      </c>
      <c r="I23" s="78">
        <f t="shared" si="4"/>
        <v>104073.84</v>
      </c>
    </row>
    <row r="24" spans="1:9" ht="15" thickBot="1">
      <c r="A24" s="83" t="s">
        <v>320</v>
      </c>
      <c r="B24" s="78">
        <v>374683.78</v>
      </c>
      <c r="C24" s="78">
        <v>305811.85</v>
      </c>
      <c r="D24" s="78">
        <v>41593</v>
      </c>
      <c r="E24" s="99">
        <v>43677</v>
      </c>
      <c r="F24">
        <v>0</v>
      </c>
      <c r="G24">
        <v>0</v>
      </c>
      <c r="H24" s="78">
        <f t="shared" si="3"/>
        <v>416276.78</v>
      </c>
      <c r="I24" s="78">
        <f t="shared" si="4"/>
        <v>349488.85</v>
      </c>
    </row>
    <row r="25" spans="1:9" ht="14.25" customHeight="1">
      <c r="A25" s="80" t="s">
        <v>311</v>
      </c>
      <c r="B25" s="72">
        <f aca="true" t="shared" si="5" ref="B25:I25">SUM(B18:B24)</f>
        <v>4216325.66</v>
      </c>
      <c r="C25" s="72">
        <f t="shared" si="5"/>
        <v>7023268.91</v>
      </c>
      <c r="D25" s="72">
        <f t="shared" si="5"/>
        <v>112953</v>
      </c>
      <c r="E25" s="72">
        <f t="shared" si="5"/>
        <v>147455</v>
      </c>
      <c r="F25" s="72">
        <f t="shared" si="5"/>
        <v>0</v>
      </c>
      <c r="G25" s="72">
        <f t="shared" si="5"/>
        <v>0</v>
      </c>
      <c r="H25" s="72">
        <f t="shared" si="5"/>
        <v>4329278.66</v>
      </c>
      <c r="I25" s="72">
        <f t="shared" si="5"/>
        <v>7170723.91</v>
      </c>
    </row>
    <row r="26" ht="14.25" customHeight="1"/>
    <row r="27" spans="1:9" ht="14.25" customHeight="1" thickBot="1">
      <c r="A27" s="81" t="s">
        <v>8</v>
      </c>
      <c r="B27" s="69">
        <v>43921</v>
      </c>
      <c r="C27" s="69">
        <v>43830</v>
      </c>
      <c r="D27" s="69">
        <v>43921</v>
      </c>
      <c r="E27" s="69">
        <v>43830</v>
      </c>
      <c r="F27" s="69">
        <v>43921</v>
      </c>
      <c r="G27" s="69">
        <v>43830</v>
      </c>
      <c r="H27" s="69">
        <v>43921</v>
      </c>
      <c r="I27" s="69">
        <v>43830</v>
      </c>
    </row>
    <row r="28" spans="1:9" ht="14.25" customHeight="1">
      <c r="A28" s="114" t="s">
        <v>473</v>
      </c>
      <c r="B28" s="78">
        <v>7501096.94</v>
      </c>
      <c r="C28" s="78">
        <v>7211438.24</v>
      </c>
      <c r="D28">
        <v>260227</v>
      </c>
      <c r="E28">
        <v>228481</v>
      </c>
      <c r="F28">
        <v>0</v>
      </c>
      <c r="G28">
        <v>5</v>
      </c>
      <c r="H28" s="70">
        <f aca="true" t="shared" si="6" ref="H28:I32">B28+D28+F28</f>
        <v>7761323.94</v>
      </c>
      <c r="I28" s="70">
        <f t="shared" si="6"/>
        <v>7439924.24</v>
      </c>
    </row>
    <row r="29" spans="1:9" ht="14.25" customHeight="1">
      <c r="A29" s="77" t="s">
        <v>474</v>
      </c>
      <c r="B29" s="78">
        <v>2341580</v>
      </c>
      <c r="C29" s="78">
        <v>3908371.69</v>
      </c>
      <c r="D29" s="69"/>
      <c r="E29" s="69"/>
      <c r="F29" s="69"/>
      <c r="G29" s="69"/>
      <c r="H29" s="70">
        <f t="shared" si="6"/>
        <v>2341580</v>
      </c>
      <c r="I29" s="70">
        <f t="shared" si="6"/>
        <v>3908371.69</v>
      </c>
    </row>
    <row r="30" spans="1:9" ht="14.25" customHeight="1">
      <c r="A30" s="77" t="s">
        <v>475</v>
      </c>
      <c r="B30" s="78">
        <f>456543+86584</f>
        <v>543127</v>
      </c>
      <c r="C30" s="78">
        <f>551956.75+86584</f>
        <v>638540.75</v>
      </c>
      <c r="H30" s="70">
        <f t="shared" si="6"/>
        <v>543127</v>
      </c>
      <c r="I30" s="70">
        <f t="shared" si="6"/>
        <v>638540.75</v>
      </c>
    </row>
    <row r="31" spans="1:9" ht="14.25" customHeight="1">
      <c r="A31" s="80"/>
      <c r="B31" s="72">
        <f aca="true" t="shared" si="7" ref="B31:G31">SUM(B28:B30)</f>
        <v>10385803.940000001</v>
      </c>
      <c r="C31" s="76">
        <f t="shared" si="7"/>
        <v>11758350.68</v>
      </c>
      <c r="D31" s="76">
        <f t="shared" si="7"/>
        <v>260227</v>
      </c>
      <c r="E31" s="76">
        <f t="shared" si="7"/>
        <v>228481</v>
      </c>
      <c r="F31" s="76">
        <f t="shared" si="7"/>
        <v>0</v>
      </c>
      <c r="G31" s="76">
        <f t="shared" si="7"/>
        <v>5</v>
      </c>
      <c r="H31" s="72">
        <f t="shared" si="6"/>
        <v>10646030.940000001</v>
      </c>
      <c r="I31" s="76">
        <f t="shared" si="6"/>
        <v>11986836.68</v>
      </c>
    </row>
    <row r="32" spans="1:9" ht="12.75">
      <c r="A32" s="73" t="s">
        <v>321</v>
      </c>
      <c r="B32" s="72">
        <f>B40+B47+B54</f>
        <v>58797307.36</v>
      </c>
      <c r="C32" s="72">
        <f>C40+C47+C54</f>
        <v>59310934.11</v>
      </c>
      <c r="H32" s="97">
        <f t="shared" si="6"/>
        <v>58797307.36</v>
      </c>
      <c r="I32" s="98">
        <f t="shared" si="6"/>
        <v>59310934.11</v>
      </c>
    </row>
    <row r="33" spans="1:9" ht="12.75">
      <c r="A33" s="81" t="s">
        <v>16</v>
      </c>
      <c r="B33" s="69">
        <v>43921</v>
      </c>
      <c r="C33" s="69">
        <v>43830</v>
      </c>
      <c r="D33" s="69">
        <v>43921</v>
      </c>
      <c r="E33" s="69">
        <v>43830</v>
      </c>
      <c r="F33" s="69">
        <v>43921</v>
      </c>
      <c r="G33" s="69">
        <v>43830</v>
      </c>
      <c r="H33" s="69">
        <v>43921</v>
      </c>
      <c r="I33" s="69">
        <v>43830</v>
      </c>
    </row>
    <row r="34" spans="1:9" ht="12.75">
      <c r="A34" s="84" t="s">
        <v>322</v>
      </c>
      <c r="B34" s="78">
        <v>3005037.15</v>
      </c>
      <c r="C34" s="78">
        <v>3005037.15</v>
      </c>
      <c r="D34">
        <v>61133</v>
      </c>
      <c r="E34">
        <v>61133</v>
      </c>
      <c r="F34">
        <v>0</v>
      </c>
      <c r="G34">
        <v>0</v>
      </c>
      <c r="H34" s="70">
        <f aca="true" t="shared" si="8" ref="H34:I40">B34+D34+F34</f>
        <v>3066170.15</v>
      </c>
      <c r="I34" s="70">
        <f t="shared" si="8"/>
        <v>3066170.15</v>
      </c>
    </row>
    <row r="35" spans="1:9" ht="12.75">
      <c r="A35" s="84" t="s">
        <v>323</v>
      </c>
      <c r="B35" s="78">
        <v>41663689.03</v>
      </c>
      <c r="C35" s="78">
        <v>41473619.96</v>
      </c>
      <c r="D35">
        <v>702570</v>
      </c>
      <c r="E35">
        <v>702570</v>
      </c>
      <c r="F35">
        <v>0</v>
      </c>
      <c r="G35">
        <v>0</v>
      </c>
      <c r="H35" s="70">
        <f t="shared" si="8"/>
        <v>42366259.03</v>
      </c>
      <c r="I35" s="70">
        <f t="shared" si="8"/>
        <v>42176189.96</v>
      </c>
    </row>
    <row r="36" spans="1:9" ht="12.75">
      <c r="A36" s="84" t="s">
        <v>324</v>
      </c>
      <c r="B36" s="78">
        <v>14514633.73</v>
      </c>
      <c r="C36" s="78">
        <v>14498886.43</v>
      </c>
      <c r="D36">
        <v>509486</v>
      </c>
      <c r="E36">
        <v>543682</v>
      </c>
      <c r="F36">
        <v>0</v>
      </c>
      <c r="G36">
        <v>0</v>
      </c>
      <c r="H36" s="70">
        <f t="shared" si="8"/>
        <v>15024119.73</v>
      </c>
      <c r="I36" s="70">
        <f t="shared" si="8"/>
        <v>15042568.43</v>
      </c>
    </row>
    <row r="37" spans="1:9" ht="12.75">
      <c r="A37" s="84" t="s">
        <v>325</v>
      </c>
      <c r="B37" s="78">
        <v>10472817.52</v>
      </c>
      <c r="C37" s="78">
        <v>10473479.23</v>
      </c>
      <c r="D37">
        <v>58305</v>
      </c>
      <c r="E37">
        <v>58305</v>
      </c>
      <c r="F37">
        <v>0</v>
      </c>
      <c r="G37">
        <v>0</v>
      </c>
      <c r="H37" s="70">
        <f t="shared" si="8"/>
        <v>10531122.52</v>
      </c>
      <c r="I37" s="70">
        <f t="shared" si="8"/>
        <v>10531784.23</v>
      </c>
    </row>
    <row r="38" spans="1:9" ht="12.75">
      <c r="A38" s="84" t="s">
        <v>326</v>
      </c>
      <c r="B38" s="78">
        <v>446165.95</v>
      </c>
      <c r="C38" s="78">
        <v>445630.7</v>
      </c>
      <c r="D38">
        <v>112813</v>
      </c>
      <c r="E38">
        <v>106428</v>
      </c>
      <c r="F38">
        <v>0</v>
      </c>
      <c r="G38">
        <v>0</v>
      </c>
      <c r="H38" s="70">
        <f t="shared" si="8"/>
        <v>558978.95</v>
      </c>
      <c r="I38" s="70">
        <f t="shared" si="8"/>
        <v>552058.7</v>
      </c>
    </row>
    <row r="39" spans="1:9" ht="12.75">
      <c r="A39" s="84" t="s">
        <v>327</v>
      </c>
      <c r="B39" s="78">
        <f>-10985826.14-5072539.03-4303361-221988.16</f>
        <v>-20583714.330000002</v>
      </c>
      <c r="C39" s="78">
        <f>-10468112.73-4746571.32-4054769.92-208724.96</f>
        <v>-19478178.93</v>
      </c>
      <c r="D39">
        <v>-1090640</v>
      </c>
      <c r="E39">
        <v>-1110270</v>
      </c>
      <c r="F39">
        <v>0</v>
      </c>
      <c r="G39">
        <v>0</v>
      </c>
      <c r="H39" s="70">
        <f t="shared" si="8"/>
        <v>-21674354.330000002</v>
      </c>
      <c r="I39" s="70">
        <f t="shared" si="8"/>
        <v>-20588448.93</v>
      </c>
    </row>
    <row r="40" spans="1:9" ht="12.75">
      <c r="A40" s="84" t="s">
        <v>311</v>
      </c>
      <c r="B40" s="76">
        <f aca="true" t="shared" si="9" ref="B40:G40">SUM(B34:B39)</f>
        <v>49518629.05</v>
      </c>
      <c r="C40" s="76">
        <f t="shared" si="9"/>
        <v>50418474.54</v>
      </c>
      <c r="D40" s="76">
        <f t="shared" si="9"/>
        <v>353667</v>
      </c>
      <c r="E40" s="76">
        <f t="shared" si="9"/>
        <v>361848</v>
      </c>
      <c r="F40" s="76">
        <f t="shared" si="9"/>
        <v>0</v>
      </c>
      <c r="G40" s="76">
        <f t="shared" si="9"/>
        <v>0</v>
      </c>
      <c r="H40" s="76">
        <f t="shared" si="8"/>
        <v>49872296.05</v>
      </c>
      <c r="I40" s="76">
        <f t="shared" si="8"/>
        <v>50780322.54</v>
      </c>
    </row>
    <row r="41" spans="8:9" ht="12.75">
      <c r="H41" s="70">
        <f>H53</f>
        <v>9185244.2</v>
      </c>
      <c r="I41" s="70">
        <f>I53</f>
        <v>8788154.41</v>
      </c>
    </row>
    <row r="42" spans="1:9" ht="12.75">
      <c r="A42" s="84"/>
      <c r="B42" s="78"/>
      <c r="H42" s="72">
        <f>SUM(H40:H41)</f>
        <v>59057540.25</v>
      </c>
      <c r="I42" s="72">
        <f>SUM(I40:I41)</f>
        <v>59568476.95</v>
      </c>
    </row>
    <row r="43" spans="1:9" ht="12.75">
      <c r="A43" s="81" t="s">
        <v>22</v>
      </c>
      <c r="B43" s="69">
        <v>43921</v>
      </c>
      <c r="C43" s="69">
        <v>43830</v>
      </c>
      <c r="D43" s="69">
        <v>43921</v>
      </c>
      <c r="E43" s="69">
        <v>43830</v>
      </c>
      <c r="F43" s="69">
        <v>43921</v>
      </c>
      <c r="G43" s="69">
        <v>43830</v>
      </c>
      <c r="H43" s="69">
        <v>43921</v>
      </c>
      <c r="I43" s="69">
        <v>43830</v>
      </c>
    </row>
    <row r="44" spans="1:9" ht="14.25">
      <c r="A44" s="82" t="s">
        <v>328</v>
      </c>
      <c r="B44" s="78">
        <f>16711.87+476500.86</f>
        <v>493212.73</v>
      </c>
      <c r="C44" s="85">
        <f>16711.87+475392.83</f>
        <v>492104.7</v>
      </c>
      <c r="D44">
        <v>0</v>
      </c>
      <c r="E44">
        <v>0</v>
      </c>
      <c r="F44" s="78">
        <v>121</v>
      </c>
      <c r="G44" s="78">
        <v>121</v>
      </c>
      <c r="H44" s="70">
        <f aca="true" t="shared" si="10" ref="H44:I47">B44+D44+F44</f>
        <v>493333.73</v>
      </c>
      <c r="I44" s="70">
        <f t="shared" si="10"/>
        <v>492225.7</v>
      </c>
    </row>
    <row r="45" spans="1:9" ht="14.25">
      <c r="A45" s="82" t="s">
        <v>329</v>
      </c>
      <c r="B45" s="78">
        <f>69.45+18602.02</f>
        <v>18671.47</v>
      </c>
      <c r="C45" s="78">
        <f>69.45+18602.02</f>
        <v>18671.47</v>
      </c>
      <c r="D45">
        <v>12728</v>
      </c>
      <c r="E45">
        <v>11725</v>
      </c>
      <c r="F45" s="78">
        <v>0</v>
      </c>
      <c r="G45" s="78">
        <v>0</v>
      </c>
      <c r="H45" s="70">
        <f t="shared" si="10"/>
        <v>31399.47</v>
      </c>
      <c r="I45" s="70">
        <f t="shared" si="10"/>
        <v>30396.47</v>
      </c>
    </row>
    <row r="46" spans="1:9" ht="14.25">
      <c r="A46" s="82" t="s">
        <v>330</v>
      </c>
      <c r="B46" s="78">
        <f>-14964.82-376978.82-69.45</f>
        <v>-392013.09</v>
      </c>
      <c r="C46" s="85">
        <f>-14633.11-365331.45-69.45</f>
        <v>-380034.01</v>
      </c>
      <c r="D46">
        <v>-8129</v>
      </c>
      <c r="E46">
        <v>-7065</v>
      </c>
      <c r="F46" s="78">
        <v>-7.91</v>
      </c>
      <c r="G46" s="78">
        <v>-2</v>
      </c>
      <c r="H46" s="70">
        <f t="shared" si="10"/>
        <v>-400150</v>
      </c>
      <c r="I46" s="70">
        <f t="shared" si="10"/>
        <v>-387101.01</v>
      </c>
    </row>
    <row r="47" spans="1:9" ht="12.75">
      <c r="A47" s="80" t="s">
        <v>311</v>
      </c>
      <c r="B47" s="72">
        <f aca="true" t="shared" si="11" ref="B47:G47">SUM(B44:B46)</f>
        <v>119871.10999999993</v>
      </c>
      <c r="C47" s="72">
        <f t="shared" si="11"/>
        <v>130742.16000000003</v>
      </c>
      <c r="D47" s="72">
        <f t="shared" si="11"/>
        <v>4599</v>
      </c>
      <c r="E47" s="72">
        <f t="shared" si="11"/>
        <v>4660</v>
      </c>
      <c r="F47" s="72">
        <f t="shared" si="11"/>
        <v>113.09</v>
      </c>
      <c r="G47" s="72">
        <f t="shared" si="11"/>
        <v>119</v>
      </c>
      <c r="H47" s="72">
        <f t="shared" si="10"/>
        <v>124583.19999999992</v>
      </c>
      <c r="I47" s="72">
        <f t="shared" si="10"/>
        <v>135521.16000000003</v>
      </c>
    </row>
    <row r="48" spans="1:9" ht="12.75">
      <c r="A48" s="80"/>
      <c r="H48">
        <v>281006</v>
      </c>
      <c r="I48">
        <v>281006</v>
      </c>
    </row>
    <row r="49" spans="1:9" ht="12.75">
      <c r="A49" s="80"/>
      <c r="H49" s="72">
        <f>SUM(H47:H48)</f>
        <v>405589.19999999995</v>
      </c>
      <c r="I49" s="72">
        <f>SUM(I47:I48)</f>
        <v>416527.16000000003</v>
      </c>
    </row>
    <row r="50" spans="1:9" ht="12.75">
      <c r="A50" s="81" t="s">
        <v>331</v>
      </c>
      <c r="B50" s="69">
        <v>43921</v>
      </c>
      <c r="C50" s="69">
        <v>43830</v>
      </c>
      <c r="D50" s="69">
        <v>43921</v>
      </c>
      <c r="E50" s="69">
        <v>43830</v>
      </c>
      <c r="F50" s="69">
        <v>43921</v>
      </c>
      <c r="G50" s="69">
        <v>43830</v>
      </c>
      <c r="H50" s="69">
        <v>43921</v>
      </c>
      <c r="I50" s="69">
        <v>43830</v>
      </c>
    </row>
    <row r="51" spans="1:9" ht="12.75">
      <c r="A51" s="84" t="s">
        <v>332</v>
      </c>
      <c r="B51" s="78">
        <v>0</v>
      </c>
      <c r="H51" s="70">
        <f aca="true" t="shared" si="12" ref="H51:I54">B51+D51+F51</f>
        <v>0</v>
      </c>
      <c r="I51" s="70">
        <f t="shared" si="12"/>
        <v>0</v>
      </c>
    </row>
    <row r="52" spans="1:9" ht="12.75">
      <c r="A52" t="s">
        <v>333</v>
      </c>
      <c r="C52" s="78">
        <v>0</v>
      </c>
      <c r="H52" s="70">
        <f t="shared" si="12"/>
        <v>0</v>
      </c>
      <c r="I52" s="70">
        <f t="shared" si="12"/>
        <v>0</v>
      </c>
    </row>
    <row r="53" spans="1:9" ht="12.75">
      <c r="A53" s="86" t="s">
        <v>334</v>
      </c>
      <c r="B53" s="78">
        <v>9158807.2</v>
      </c>
      <c r="C53" s="78">
        <v>8761717.41</v>
      </c>
      <c r="D53">
        <v>26437</v>
      </c>
      <c r="E53">
        <v>26437</v>
      </c>
      <c r="H53" s="70">
        <f t="shared" si="12"/>
        <v>9185244.2</v>
      </c>
      <c r="I53" s="70">
        <f t="shared" si="12"/>
        <v>8788154.41</v>
      </c>
    </row>
    <row r="54" spans="1:9" ht="12.75">
      <c r="A54" s="86" t="s">
        <v>311</v>
      </c>
      <c r="B54" s="72">
        <f aca="true" t="shared" si="13" ref="B54:G54">SUM(B51:B53)</f>
        <v>9158807.2</v>
      </c>
      <c r="C54" s="72">
        <f t="shared" si="13"/>
        <v>8761717.41</v>
      </c>
      <c r="D54" s="72">
        <f t="shared" si="13"/>
        <v>26437</v>
      </c>
      <c r="E54" s="72">
        <f t="shared" si="13"/>
        <v>26437</v>
      </c>
      <c r="F54" s="72">
        <f t="shared" si="13"/>
        <v>0</v>
      </c>
      <c r="G54" s="72">
        <f t="shared" si="13"/>
        <v>0</v>
      </c>
      <c r="H54" s="72">
        <f t="shared" si="12"/>
        <v>9185244.2</v>
      </c>
      <c r="I54" s="72">
        <f t="shared" si="12"/>
        <v>8788154.41</v>
      </c>
    </row>
    <row r="56" spans="1:3" ht="12.75">
      <c r="A56" s="71" t="s">
        <v>335</v>
      </c>
      <c r="B56" s="87">
        <f>B61+B68</f>
        <v>3804992.26</v>
      </c>
      <c r="C56" s="87">
        <f>C61+C68</f>
        <v>5777426.82</v>
      </c>
    </row>
    <row r="57" spans="1:2" ht="12.75">
      <c r="A57" s="81" t="s">
        <v>336</v>
      </c>
      <c r="B57" s="78"/>
    </row>
    <row r="58" spans="1:9" ht="12.75">
      <c r="A58" s="81" t="s">
        <v>337</v>
      </c>
      <c r="B58" s="69">
        <v>43921</v>
      </c>
      <c r="C58" s="69">
        <v>43830</v>
      </c>
      <c r="D58" s="69">
        <v>43921</v>
      </c>
      <c r="E58" s="69">
        <v>43830</v>
      </c>
      <c r="F58" s="69">
        <v>43921</v>
      </c>
      <c r="G58" s="69">
        <v>43830</v>
      </c>
      <c r="H58" s="69">
        <v>43921</v>
      </c>
      <c r="I58" s="69">
        <v>43830</v>
      </c>
    </row>
    <row r="59" spans="1:12" ht="14.25">
      <c r="A59" s="80" t="s">
        <v>338</v>
      </c>
      <c r="B59" s="78">
        <v>1530682.46</v>
      </c>
      <c r="C59" s="85">
        <v>3180793.87</v>
      </c>
      <c r="D59" s="70">
        <v>40838</v>
      </c>
      <c r="E59">
        <v>48108</v>
      </c>
      <c r="H59" s="70">
        <f>B59+D59+F59</f>
        <v>1571520.46</v>
      </c>
      <c r="I59" s="70">
        <f>C59+E59+G59</f>
        <v>3228901.87</v>
      </c>
      <c r="J59">
        <v>2953</v>
      </c>
      <c r="K59">
        <v>20244</v>
      </c>
      <c r="L59" s="111" t="s">
        <v>470</v>
      </c>
    </row>
    <row r="60" spans="1:12" ht="15" thickBot="1">
      <c r="A60" t="s">
        <v>339</v>
      </c>
      <c r="B60" s="78">
        <f>B61-B59</f>
        <v>207876.47999999998</v>
      </c>
      <c r="C60" s="78">
        <f>C61-C59</f>
        <v>327680.1299999999</v>
      </c>
      <c r="D60" s="70"/>
      <c r="F60">
        <v>0</v>
      </c>
      <c r="G60">
        <v>0</v>
      </c>
      <c r="H60" s="70">
        <f>B60+D60+F60</f>
        <v>207876.47999999998</v>
      </c>
      <c r="I60" s="70">
        <f>C60+E60+G60-K59</f>
        <v>307436.1299999999</v>
      </c>
      <c r="L60" s="112">
        <v>307436</v>
      </c>
    </row>
    <row r="61" spans="2:12" ht="15.75" thickBot="1">
      <c r="B61" s="76">
        <v>1738558.94</v>
      </c>
      <c r="C61" s="76">
        <v>3508474</v>
      </c>
      <c r="D61" s="76">
        <f>SUM(D59:D60)</f>
        <v>40838</v>
      </c>
      <c r="E61" s="76">
        <f>SUM(E59:E60)</f>
        <v>48108</v>
      </c>
      <c r="F61" s="76">
        <f>SUM(F59:F60)</f>
        <v>0</v>
      </c>
      <c r="G61" s="76">
        <f>SUM(G59:G60)</f>
        <v>0</v>
      </c>
      <c r="H61" s="76">
        <f>B61+D61+F61-J59</f>
        <v>1776443.94</v>
      </c>
      <c r="I61" s="76">
        <f>SUM(I59:I60)</f>
        <v>3536338</v>
      </c>
      <c r="L61" s="113" t="s">
        <v>471</v>
      </c>
    </row>
    <row r="62" ht="13.5" thickTop="1"/>
    <row r="63" spans="1:9" ht="12.75">
      <c r="A63" s="81" t="s">
        <v>27</v>
      </c>
      <c r="B63" s="69">
        <v>43921</v>
      </c>
      <c r="C63" s="69">
        <v>43830</v>
      </c>
      <c r="D63" s="69">
        <v>43921</v>
      </c>
      <c r="E63" s="69">
        <v>43830</v>
      </c>
      <c r="F63" s="69">
        <v>43921</v>
      </c>
      <c r="G63" s="69">
        <v>43830</v>
      </c>
      <c r="H63" s="69">
        <v>43921</v>
      </c>
      <c r="I63" s="69">
        <v>43830</v>
      </c>
    </row>
    <row r="64" spans="1:10" ht="12.75">
      <c r="A64" s="80" t="s">
        <v>340</v>
      </c>
      <c r="B64" s="78">
        <v>1582415.1</v>
      </c>
      <c r="C64" s="78">
        <v>1373682.12</v>
      </c>
      <c r="D64">
        <v>249120</v>
      </c>
      <c r="E64">
        <v>78561</v>
      </c>
      <c r="G64">
        <v>0</v>
      </c>
      <c r="H64" s="70">
        <f>B64+D64+F64</f>
        <v>1831535.1</v>
      </c>
      <c r="I64" s="70">
        <f>C64+E64+G64</f>
        <v>1452243.12</v>
      </c>
      <c r="J64" s="80"/>
    </row>
    <row r="65" spans="1:10" ht="12.75">
      <c r="A65" s="80" t="s">
        <v>341</v>
      </c>
      <c r="B65" s="78">
        <v>484018.22</v>
      </c>
      <c r="C65" s="78">
        <v>468426.7</v>
      </c>
      <c r="D65">
        <v>43197</v>
      </c>
      <c r="E65">
        <v>40610</v>
      </c>
      <c r="G65">
        <v>3</v>
      </c>
      <c r="H65" s="70">
        <f>B65+D65+F65</f>
        <v>527215.22</v>
      </c>
      <c r="I65" s="70">
        <f>C65+E65+G65</f>
        <v>509039.7</v>
      </c>
      <c r="J65" s="80"/>
    </row>
    <row r="66" spans="1:10" ht="12.75">
      <c r="A66" s="80" t="s">
        <v>472</v>
      </c>
      <c r="B66" s="78">
        <v>353418.62</v>
      </c>
      <c r="C66" s="78">
        <v>426454</v>
      </c>
      <c r="D66">
        <v>36335</v>
      </c>
      <c r="E66">
        <v>104108</v>
      </c>
      <c r="G66">
        <v>4223</v>
      </c>
      <c r="H66" s="70">
        <f>B66+D66+F66+J68</f>
        <v>5526573.62</v>
      </c>
      <c r="I66" s="70">
        <f>C66+E66+G66+K68</f>
        <v>7326952</v>
      </c>
      <c r="J66" s="80"/>
    </row>
    <row r="67" spans="1:10" ht="14.25">
      <c r="A67" s="82" t="s">
        <v>367</v>
      </c>
      <c r="B67" s="78">
        <v>0</v>
      </c>
      <c r="C67" s="78">
        <v>390</v>
      </c>
      <c r="D67">
        <v>0</v>
      </c>
      <c r="E67">
        <v>0</v>
      </c>
      <c r="F67">
        <v>0</v>
      </c>
      <c r="G67">
        <v>0</v>
      </c>
      <c r="H67" s="70">
        <f>B67+D67+F67</f>
        <v>0</v>
      </c>
      <c r="I67" s="70">
        <f>C67+E67+G67</f>
        <v>390</v>
      </c>
      <c r="J67" s="80"/>
    </row>
    <row r="68" spans="1:11" ht="12.75">
      <c r="A68" s="80" t="s">
        <v>311</v>
      </c>
      <c r="B68" s="76">
        <f>SUM(B64:B65)</f>
        <v>2066433.32</v>
      </c>
      <c r="C68" s="76">
        <f>SUM(C64:C67)</f>
        <v>2268952.8200000003</v>
      </c>
      <c r="D68" s="76">
        <f>SUM(D64:D67)</f>
        <v>328652</v>
      </c>
      <c r="E68" s="76">
        <f>SUM(E64:E67)</f>
        <v>223279</v>
      </c>
      <c r="F68" s="76">
        <f>SUM(F64:F67)</f>
        <v>0</v>
      </c>
      <c r="G68" s="76">
        <f>SUM(G64:G67)</f>
        <v>4226</v>
      </c>
      <c r="H68" s="76">
        <f>H64+H65+H66+H67</f>
        <v>7885323.94</v>
      </c>
      <c r="I68" s="76">
        <f>I64+I65+I66+I67</f>
        <v>9288624.82</v>
      </c>
      <c r="J68">
        <v>5136820</v>
      </c>
      <c r="K68">
        <v>6792167</v>
      </c>
    </row>
    <row r="69" ht="12.75" hidden="1"/>
    <row r="70" spans="1:2" ht="12.75" hidden="1">
      <c r="A70" s="81" t="s">
        <v>342</v>
      </c>
      <c r="B70" s="78"/>
    </row>
    <row r="71" spans="1:3" ht="12.75" hidden="1">
      <c r="A71" s="80"/>
      <c r="B71" s="76" t="s">
        <v>307</v>
      </c>
      <c r="C71" s="76" t="s">
        <v>308</v>
      </c>
    </row>
    <row r="72" spans="1:3" ht="12.75" hidden="1">
      <c r="A72" s="80" t="s">
        <v>343</v>
      </c>
      <c r="B72" s="78"/>
      <c r="C72" s="78">
        <v>0</v>
      </c>
    </row>
    <row r="73" spans="1:3" ht="12.75" hidden="1">
      <c r="A73" s="84" t="s">
        <v>344</v>
      </c>
      <c r="B73" s="88"/>
      <c r="C73" s="88"/>
    </row>
    <row r="74" spans="1:3" ht="12.75" hidden="1">
      <c r="A74" s="84" t="s">
        <v>345</v>
      </c>
      <c r="B74" s="88"/>
      <c r="C74" s="88"/>
    </row>
    <row r="75" spans="1:3" ht="12.75" hidden="1">
      <c r="A75" s="84" t="s">
        <v>346</v>
      </c>
      <c r="B75" s="88"/>
      <c r="C75" s="88"/>
    </row>
    <row r="76" spans="1:3" ht="12.75" hidden="1">
      <c r="A76" s="84" t="s">
        <v>347</v>
      </c>
      <c r="B76" s="88"/>
      <c r="C76" s="88"/>
    </row>
    <row r="77" spans="1:3" ht="12.75" hidden="1">
      <c r="A77" s="84" t="s">
        <v>348</v>
      </c>
      <c r="B77" s="88"/>
      <c r="C77" s="88"/>
    </row>
    <row r="78" spans="1:3" ht="12.75" hidden="1">
      <c r="A78" s="84" t="s">
        <v>349</v>
      </c>
      <c r="B78" s="88"/>
      <c r="C78" s="88"/>
    </row>
    <row r="79" spans="1:3" ht="12.75" hidden="1">
      <c r="A79" s="84" t="s">
        <v>350</v>
      </c>
      <c r="B79" s="88"/>
      <c r="C79" s="88"/>
    </row>
    <row r="80" spans="1:3" ht="12.75" hidden="1">
      <c r="A80" s="84" t="s">
        <v>351</v>
      </c>
      <c r="B80" s="88"/>
      <c r="C80" s="88"/>
    </row>
    <row r="81" spans="1:3" ht="12.75" hidden="1">
      <c r="A81" s="84" t="s">
        <v>311</v>
      </c>
      <c r="B81" s="76">
        <f>SUM(B73:B80)</f>
        <v>0</v>
      </c>
      <c r="C81" s="76">
        <f>SUM(C72:C80)</f>
        <v>0</v>
      </c>
    </row>
    <row r="82" ht="12.75" hidden="1"/>
    <row r="83" spans="2:3" ht="12.75" hidden="1">
      <c r="B83" s="87">
        <f>B59+B68+B81</f>
        <v>3597115.7800000003</v>
      </c>
      <c r="C83" s="76">
        <f>C59+C68+C81</f>
        <v>5449746.69</v>
      </c>
    </row>
    <row r="84" ht="12.75" hidden="1">
      <c r="A84" t="s">
        <v>352</v>
      </c>
    </row>
    <row r="85" spans="2:3" ht="12.75" hidden="1">
      <c r="B85" s="76" t="s">
        <v>307</v>
      </c>
      <c r="C85" s="76" t="s">
        <v>308</v>
      </c>
    </row>
    <row r="86" spans="1:3" ht="12.75" hidden="1">
      <c r="A86" s="89" t="s">
        <v>353</v>
      </c>
      <c r="B86" s="70">
        <v>585</v>
      </c>
      <c r="C86" s="78">
        <v>585</v>
      </c>
    </row>
    <row r="87" spans="1:3" ht="12.75" hidden="1">
      <c r="A87" s="89" t="s">
        <v>354</v>
      </c>
      <c r="B87" s="70">
        <v>439861</v>
      </c>
      <c r="C87" s="78">
        <v>439861</v>
      </c>
    </row>
    <row r="88" spans="1:3" ht="12.75" hidden="1">
      <c r="A88" s="89" t="s">
        <v>355</v>
      </c>
      <c r="B88" s="90">
        <v>1514334</v>
      </c>
      <c r="C88" s="78">
        <v>1891495</v>
      </c>
    </row>
    <row r="89" spans="1:3" ht="12.75" hidden="1">
      <c r="A89" s="89" t="s">
        <v>356</v>
      </c>
      <c r="B89" s="70">
        <v>1377290</v>
      </c>
      <c r="C89" s="78">
        <v>980720</v>
      </c>
    </row>
    <row r="90" spans="1:3" ht="12.75" hidden="1">
      <c r="A90" s="84" t="s">
        <v>311</v>
      </c>
      <c r="B90" s="72">
        <f>SUM(B86:B89)</f>
        <v>3332070</v>
      </c>
      <c r="C90" s="76">
        <f>SUM(C86:C89)</f>
        <v>3312661</v>
      </c>
    </row>
    <row r="91" ht="12.75" hidden="1"/>
    <row r="92" spans="2:3" ht="12.75" hidden="1">
      <c r="B92" s="87">
        <f>B83+B90</f>
        <v>6929185.78</v>
      </c>
      <c r="C92" s="76">
        <f>C83+C90</f>
        <v>8762407.690000001</v>
      </c>
    </row>
    <row r="93" ht="12.75" hidden="1"/>
    <row r="94" ht="12.75" hidden="1"/>
    <row r="96" spans="1:9" ht="12.75">
      <c r="A96" s="81" t="s">
        <v>152</v>
      </c>
      <c r="B96" s="76">
        <v>74817</v>
      </c>
      <c r="C96" s="76">
        <v>74816</v>
      </c>
      <c r="D96" s="75">
        <v>-17920</v>
      </c>
      <c r="E96" s="75">
        <v>-17920</v>
      </c>
      <c r="F96" s="75">
        <v>0</v>
      </c>
      <c r="G96" s="75">
        <v>4215</v>
      </c>
      <c r="H96" s="72">
        <f>B96+D96+F96</f>
        <v>56897</v>
      </c>
      <c r="I96" s="72">
        <f>C96+E96+G96</f>
        <v>61111</v>
      </c>
    </row>
    <row r="97" spans="1:9" ht="12.75">
      <c r="A97" s="81"/>
      <c r="B97" s="76"/>
      <c r="C97" s="76"/>
      <c r="D97" s="75"/>
      <c r="E97" s="75"/>
      <c r="F97" s="75"/>
      <c r="G97" s="75"/>
      <c r="H97" s="72"/>
      <c r="I97" s="72"/>
    </row>
    <row r="98" spans="1:9" ht="12.75">
      <c r="A98" s="81" t="s">
        <v>357</v>
      </c>
      <c r="B98" s="69">
        <v>43921</v>
      </c>
      <c r="C98" s="69">
        <v>43555</v>
      </c>
      <c r="D98" s="69">
        <v>43921</v>
      </c>
      <c r="E98" s="69">
        <v>43830</v>
      </c>
      <c r="F98" s="69">
        <v>43921</v>
      </c>
      <c r="G98" s="69">
        <v>43830</v>
      </c>
      <c r="H98" s="69">
        <v>43921</v>
      </c>
      <c r="I98" s="69">
        <v>43830</v>
      </c>
    </row>
    <row r="99" spans="1:9" ht="12.75">
      <c r="A99" s="80" t="s">
        <v>358</v>
      </c>
      <c r="B99" s="78">
        <v>260510</v>
      </c>
      <c r="C99" s="78">
        <v>486404</v>
      </c>
      <c r="D99" s="78">
        <v>1815</v>
      </c>
      <c r="E99" s="99">
        <v>5231</v>
      </c>
      <c r="H99" s="70">
        <f>B99+D99+F99</f>
        <v>262325</v>
      </c>
      <c r="I99" s="70">
        <f>C99+E99+G99</f>
        <v>491635</v>
      </c>
    </row>
    <row r="100" spans="1:9" ht="12.75">
      <c r="A100" s="80" t="s">
        <v>359</v>
      </c>
      <c r="B100" s="78">
        <v>495353</v>
      </c>
      <c r="C100" s="78">
        <v>281434</v>
      </c>
      <c r="D100" s="78">
        <v>122168</v>
      </c>
      <c r="E100" s="99">
        <v>60800</v>
      </c>
      <c r="F100" s="78">
        <v>600</v>
      </c>
      <c r="G100" s="78">
        <v>6055</v>
      </c>
      <c r="H100" s="70">
        <f aca="true" t="shared" si="14" ref="H100:H107">B100+D100+F100</f>
        <v>618121</v>
      </c>
      <c r="I100" s="70">
        <f aca="true" t="shared" si="15" ref="I100:I107">C100+E100+G100</f>
        <v>348289</v>
      </c>
    </row>
    <row r="101" spans="1:9" ht="12.75">
      <c r="A101" s="80" t="s">
        <v>360</v>
      </c>
      <c r="B101" s="78">
        <v>163121</v>
      </c>
      <c r="C101" s="78">
        <v>143974</v>
      </c>
      <c r="D101" s="78">
        <v>14938</v>
      </c>
      <c r="E101" s="99">
        <v>7494</v>
      </c>
      <c r="F101" s="78">
        <f>12+18.9+31.83</f>
        <v>62.73</v>
      </c>
      <c r="G101" s="78">
        <f>86+188+380</f>
        <v>654</v>
      </c>
      <c r="H101" s="70">
        <f t="shared" si="14"/>
        <v>178121.73</v>
      </c>
      <c r="I101" s="70">
        <f t="shared" si="15"/>
        <v>152122</v>
      </c>
    </row>
    <row r="102" spans="1:9" ht="12.75">
      <c r="A102" s="80" t="s">
        <v>361</v>
      </c>
      <c r="B102" s="70">
        <v>9250</v>
      </c>
      <c r="C102" s="78">
        <v>9028</v>
      </c>
      <c r="D102" s="78">
        <v>15618</v>
      </c>
      <c r="E102" s="100">
        <v>16719</v>
      </c>
      <c r="F102" s="70"/>
      <c r="G102" s="78"/>
      <c r="H102" s="70">
        <f t="shared" si="14"/>
        <v>24868</v>
      </c>
      <c r="I102" s="70">
        <f t="shared" si="15"/>
        <v>25747</v>
      </c>
    </row>
    <row r="103" spans="1:9" ht="12.75">
      <c r="A103" s="80" t="s">
        <v>362</v>
      </c>
      <c r="B103" s="78">
        <v>2800</v>
      </c>
      <c r="C103" s="78">
        <v>6500</v>
      </c>
      <c r="D103" s="78">
        <v>0</v>
      </c>
      <c r="E103" s="99">
        <v>0</v>
      </c>
      <c r="F103" s="78"/>
      <c r="G103" s="78"/>
      <c r="H103" s="70">
        <f t="shared" si="14"/>
        <v>2800</v>
      </c>
      <c r="I103" s="70">
        <f t="shared" si="15"/>
        <v>6500</v>
      </c>
    </row>
    <row r="104" spans="1:9" ht="12.75">
      <c r="A104" s="80" t="s">
        <v>363</v>
      </c>
      <c r="B104" s="78">
        <v>6390</v>
      </c>
      <c r="C104" s="78">
        <v>18552</v>
      </c>
      <c r="D104" s="78">
        <v>7500</v>
      </c>
      <c r="E104" s="99">
        <v>6696</v>
      </c>
      <c r="F104" s="78"/>
      <c r="G104" s="78"/>
      <c r="H104" s="70">
        <f t="shared" si="14"/>
        <v>13890</v>
      </c>
      <c r="I104" s="70">
        <f t="shared" si="15"/>
        <v>25248</v>
      </c>
    </row>
    <row r="105" spans="1:9" ht="12.75">
      <c r="A105" s="80" t="s">
        <v>364</v>
      </c>
      <c r="B105" s="78">
        <v>13289</v>
      </c>
      <c r="C105" s="78">
        <v>13260</v>
      </c>
      <c r="D105" s="78">
        <v>10289</v>
      </c>
      <c r="E105" s="99">
        <v>12350</v>
      </c>
      <c r="F105" s="78">
        <v>5.95</v>
      </c>
      <c r="G105" s="78">
        <v>2</v>
      </c>
      <c r="H105" s="70">
        <f t="shared" si="14"/>
        <v>23583.95</v>
      </c>
      <c r="I105" s="70">
        <f t="shared" si="15"/>
        <v>25612</v>
      </c>
    </row>
    <row r="106" spans="1:9" ht="12.75">
      <c r="A106" s="80" t="s">
        <v>365</v>
      </c>
      <c r="B106" s="78">
        <v>121755</v>
      </c>
      <c r="C106" s="78">
        <v>4</v>
      </c>
      <c r="D106" s="78">
        <v>2316</v>
      </c>
      <c r="E106" s="99">
        <v>278</v>
      </c>
      <c r="F106" s="78"/>
      <c r="G106" s="78"/>
      <c r="H106" s="70">
        <f t="shared" si="14"/>
        <v>124071</v>
      </c>
      <c r="I106" s="70">
        <f t="shared" si="15"/>
        <v>282</v>
      </c>
    </row>
    <row r="107" spans="1:9" ht="13.5" thickBot="1">
      <c r="A107" s="80" t="s">
        <v>366</v>
      </c>
      <c r="B107" s="91">
        <v>212107</v>
      </c>
      <c r="C107" s="78">
        <v>165058</v>
      </c>
      <c r="D107" s="91">
        <v>92076</v>
      </c>
      <c r="E107" s="101">
        <v>26896</v>
      </c>
      <c r="F107" s="91">
        <v>11.67</v>
      </c>
      <c r="G107" s="78">
        <f>35+54+35</f>
        <v>124</v>
      </c>
      <c r="H107" s="70">
        <f t="shared" si="14"/>
        <v>304194.67</v>
      </c>
      <c r="I107" s="70">
        <f t="shared" si="15"/>
        <v>192078</v>
      </c>
    </row>
    <row r="108" spans="1:9" ht="12.75">
      <c r="A108" s="84" t="s">
        <v>311</v>
      </c>
      <c r="B108" s="92">
        <f aca="true" t="shared" si="16" ref="B108:G108">SUM(B99:B107)</f>
        <v>1284575</v>
      </c>
      <c r="C108" s="92">
        <f t="shared" si="16"/>
        <v>1124214</v>
      </c>
      <c r="D108" s="92">
        <f t="shared" si="16"/>
        <v>266720</v>
      </c>
      <c r="E108" s="92">
        <f t="shared" si="16"/>
        <v>136464</v>
      </c>
      <c r="F108" s="92">
        <f t="shared" si="16"/>
        <v>680.35</v>
      </c>
      <c r="G108" s="92">
        <f t="shared" si="16"/>
        <v>6835</v>
      </c>
      <c r="H108" s="92">
        <f>B108+D108+F108</f>
        <v>1551975.35</v>
      </c>
      <c r="I108" s="92">
        <f>C108+E108+G108</f>
        <v>1267513</v>
      </c>
    </row>
  </sheetData>
  <sheetProtection/>
  <mergeCells count="4">
    <mergeCell ref="B1:C1"/>
    <mergeCell ref="D1:E1"/>
    <mergeCell ref="F1:G1"/>
    <mergeCell ref="H1:I1"/>
  </mergeCells>
  <printOptions/>
  <pageMargins left="0.21" right="0.12" top="0.16" bottom="0.2" header="0.16" footer="0.16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Касымова Куаныш Имашевна</cp:lastModifiedBy>
  <cp:lastPrinted>2020-04-29T08:11:09Z</cp:lastPrinted>
  <dcterms:created xsi:type="dcterms:W3CDTF">2008-06-27T12:07:19Z</dcterms:created>
  <dcterms:modified xsi:type="dcterms:W3CDTF">2020-04-29T09:13:02Z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