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a.demegenova\Desktop\"/>
    </mc:Choice>
  </mc:AlternateContent>
  <xr:revisionPtr revIDLastSave="0" documentId="8_{CCE2F4B5-D5CD-49FB-865A-F9CB9958911B}" xr6:coauthVersionLast="45" xr6:coauthVersionMax="45" xr10:uidLastSave="{00000000-0000-0000-0000-000000000000}"/>
  <bookViews>
    <workbookView xWindow="-108" yWindow="-108" windowWidth="23256" windowHeight="12720" xr2:uid="{57649AE2-207C-44CD-A00A-BBF36DABBF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7" i="1" l="1"/>
  <c r="I201" i="1"/>
  <c r="G201" i="1"/>
  <c r="I192" i="1"/>
  <c r="G192" i="1"/>
  <c r="G172" i="1"/>
  <c r="G175" i="1" s="1"/>
  <c r="I160" i="1"/>
  <c r="I172" i="1" s="1"/>
  <c r="I175" i="1" s="1"/>
  <c r="G160" i="1"/>
  <c r="E158" i="1"/>
  <c r="E157" i="1"/>
  <c r="E153" i="1"/>
  <c r="E152" i="1"/>
  <c r="E151" i="1"/>
  <c r="E150" i="1"/>
  <c r="C146" i="1"/>
  <c r="I139" i="1"/>
  <c r="G139" i="1"/>
  <c r="I135" i="1"/>
  <c r="I137" i="1" s="1"/>
  <c r="G135" i="1"/>
  <c r="G137" i="1" s="1"/>
  <c r="Q134" i="1"/>
  <c r="Q135" i="1" s="1"/>
  <c r="M134" i="1"/>
  <c r="M135" i="1" s="1"/>
  <c r="I134" i="1"/>
  <c r="G134" i="1"/>
  <c r="O134" i="1" s="1"/>
  <c r="S134" i="1" s="1"/>
  <c r="O133" i="1"/>
  <c r="S133" i="1" s="1"/>
  <c r="O132" i="1"/>
  <c r="S132" i="1" s="1"/>
  <c r="S131" i="1"/>
  <c r="O131" i="1"/>
  <c r="S130" i="1"/>
  <c r="O130" i="1"/>
  <c r="O129" i="1"/>
  <c r="S129" i="1" s="1"/>
  <c r="K128" i="1"/>
  <c r="Q127" i="1"/>
  <c r="Q128" i="1" s="1"/>
  <c r="O127" i="1"/>
  <c r="S127" i="1" s="1"/>
  <c r="M127" i="1"/>
  <c r="M128" i="1" s="1"/>
  <c r="I127" i="1"/>
  <c r="G127" i="1"/>
  <c r="S126" i="1"/>
  <c r="O126" i="1"/>
  <c r="O125" i="1"/>
  <c r="S125" i="1" s="1"/>
  <c r="O124" i="1"/>
  <c r="S124" i="1" s="1"/>
  <c r="E118" i="1"/>
  <c r="G114" i="1"/>
  <c r="G113" i="1"/>
  <c r="G115" i="1" s="1"/>
  <c r="G120" i="1" s="1"/>
  <c r="I112" i="1"/>
  <c r="I111" i="1"/>
  <c r="I110" i="1"/>
  <c r="I109" i="1"/>
  <c r="I108" i="1"/>
  <c r="I107" i="1"/>
  <c r="I106" i="1"/>
  <c r="I105" i="1"/>
  <c r="I104" i="1"/>
  <c r="I113" i="1" s="1"/>
  <c r="I101" i="1"/>
  <c r="G101" i="1"/>
  <c r="I100" i="1"/>
  <c r="I99" i="1"/>
  <c r="I98" i="1"/>
  <c r="I97" i="1"/>
  <c r="I96" i="1"/>
  <c r="I95" i="1"/>
  <c r="I94" i="1"/>
  <c r="I93" i="1"/>
  <c r="I92" i="1"/>
  <c r="I91" i="1"/>
  <c r="I87" i="1"/>
  <c r="G85" i="1"/>
  <c r="G88" i="1" s="1"/>
  <c r="I84" i="1"/>
  <c r="I83" i="1"/>
  <c r="I82" i="1"/>
  <c r="I81" i="1"/>
  <c r="I85" i="1" s="1"/>
  <c r="I88" i="1" s="1"/>
  <c r="G73" i="1"/>
  <c r="G70" i="1"/>
  <c r="I69" i="1"/>
  <c r="G206" i="1" s="1"/>
  <c r="I68" i="1"/>
  <c r="I67" i="1"/>
  <c r="I66" i="1"/>
  <c r="I65" i="1"/>
  <c r="I64" i="1"/>
  <c r="I63" i="1"/>
  <c r="I62" i="1"/>
  <c r="I70" i="1" s="1"/>
  <c r="I73" i="1" s="1"/>
  <c r="G59" i="1"/>
  <c r="G74" i="1" s="1"/>
  <c r="I58" i="1"/>
  <c r="I57" i="1"/>
  <c r="I56" i="1"/>
  <c r="I55" i="1"/>
  <c r="I54" i="1"/>
  <c r="I53" i="1"/>
  <c r="I52" i="1"/>
  <c r="I51" i="1"/>
  <c r="I50" i="1"/>
  <c r="I49" i="1"/>
  <c r="I59" i="1" s="1"/>
  <c r="I74" i="1" s="1"/>
  <c r="I41" i="1"/>
  <c r="I40" i="1" s="1"/>
  <c r="I39" i="1" s="1"/>
  <c r="G41" i="1"/>
  <c r="G40" i="1" s="1"/>
  <c r="G39" i="1" s="1"/>
  <c r="E22" i="1"/>
  <c r="I19" i="1"/>
  <c r="I24" i="1" s="1"/>
  <c r="I27" i="1" s="1"/>
  <c r="I30" i="1" s="1"/>
  <c r="E16" i="1"/>
  <c r="I13" i="1"/>
  <c r="I11" i="1"/>
  <c r="G11" i="1"/>
  <c r="G19" i="1" s="1"/>
  <c r="G24" i="1" s="1"/>
  <c r="G27" i="1" s="1"/>
  <c r="G30" i="1" s="1"/>
  <c r="S137" i="1" l="1"/>
  <c r="O128" i="1"/>
  <c r="S128" i="1" s="1"/>
  <c r="I114" i="1"/>
  <c r="I115" i="1"/>
  <c r="I120" i="1" s="1"/>
  <c r="G203" i="1"/>
  <c r="G207" i="1" s="1"/>
  <c r="G209" i="1" s="1"/>
  <c r="I203" i="1"/>
  <c r="I207" i="1" s="1"/>
  <c r="O135" i="1"/>
  <c r="S135" i="1" s="1"/>
</calcChain>
</file>

<file path=xl/sharedStrings.xml><?xml version="1.0" encoding="utf-8"?>
<sst xmlns="http://schemas.openxmlformats.org/spreadsheetml/2006/main" count="188" uniqueCount="160">
  <si>
    <t>JSC AK Altynalmas consolidated</t>
  </si>
  <si>
    <t>XXXXXXXXXXXXXXXXXXXXXXXXXXXXXXXXXXXXXXXXXXXXXXXXXXX</t>
  </si>
  <si>
    <t>X</t>
  </si>
  <si>
    <t>XXXXX</t>
  </si>
  <si>
    <t>XXXXXXXXXXXXX</t>
  </si>
  <si>
    <t>Consolidated Financial statements</t>
  </si>
  <si>
    <t>KKZT</t>
  </si>
  <si>
    <t>За 3 месяца,
закончившихся 31 марта</t>
  </si>
  <si>
    <t>SOCI</t>
  </si>
  <si>
    <t>(в тысячах тенге)</t>
  </si>
  <si>
    <t>Прим.</t>
  </si>
  <si>
    <t>2020 года</t>
  </si>
  <si>
    <t>2019 года</t>
  </si>
  <si>
    <t>Выручка по договорам с покупателями</t>
  </si>
  <si>
    <t>Себестоимость реализованной продукции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</si>
  <si>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</si>
  <si>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</si>
  <si>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</si>
  <si>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</si>
  <si>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Прочие операционные расходы</t>
  </si>
  <si>
    <t>Начисление убытка от обесценения финансовых активов, нетто</t>
  </si>
  <si>
    <t>Восстановление убытка от обесценения нефинансовых активов, нетто</t>
  </si>
  <si>
    <t>Операционная прибыль</t>
  </si>
  <si>
    <t>Финансовые доходы</t>
  </si>
  <si>
    <t>Финансовые расходы</t>
  </si>
  <si>
    <t>(Отрицательная)/положительная курсовая разница, нетто</t>
  </si>
  <si>
    <t>(Убыток)/прибыль до налогообложения</t>
  </si>
  <si>
    <t>Расходы по подоходному налогу</t>
  </si>
  <si>
    <t>(Убыток)/прибыль за период после налогообложения</t>
  </si>
  <si>
    <t>Прочий совокупный доход</t>
  </si>
  <si>
    <t>Итого совокупный (-ая) (убыток)/прибыль за период</t>
  </si>
  <si>
    <t>Приходящийся на:</t>
  </si>
  <si>
    <t>Акционеров материнской компании</t>
  </si>
  <si>
    <t>Неконтрольные доли участия</t>
  </si>
  <si>
    <t>(Убыток)/прибыль на акцию</t>
  </si>
  <si>
    <t>Количество простых акций</t>
  </si>
  <si>
    <t>Объявленные дивиденды по привилегированным акциям в тыс.тг</t>
  </si>
  <si>
    <t>Базовая прибыль на акцию в тенге</t>
  </si>
  <si>
    <t>Разводненная прибыль на акцию в тенге</t>
  </si>
  <si>
    <t>Базовая и разводнённая, в отношении (убытка)/прибыли за период, приходящейся на держателей на простых акций материнской организации, в тенге</t>
  </si>
  <si>
    <t>SFP</t>
  </si>
  <si>
    <t>31 марта
2020 года</t>
  </si>
  <si>
    <t>31 декабря
2019 года</t>
  </si>
  <si>
    <t>Активы</t>
  </si>
  <si>
    <t>Долгосрочные активы</t>
  </si>
  <si>
    <t>Основные средства</t>
  </si>
  <si>
    <t>Активы в форме права пользования</t>
  </si>
  <si>
    <t>Активы по разведке и оценке</t>
  </si>
  <si>
    <t>Инвестиционная недвижимость</t>
  </si>
  <si>
    <t>Нематериальные активы</t>
  </si>
  <si>
    <t>Авансы, выданные за долгосрочные активы</t>
  </si>
  <si>
    <t>Гудвилл</t>
  </si>
  <si>
    <t>Активы по отложенному налогу</t>
  </si>
  <si>
    <t>Денежные средства, ограниченные в использовании</t>
  </si>
  <si>
    <t>Прочие долгосрочные активы</t>
  </si>
  <si>
    <t>Краткосрочные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</si>
  <si>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</si>
  <si>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</si>
  <si>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</si>
  <si>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Краткосрочные займы, выданные</t>
  </si>
  <si>
    <t>Предоплата по корпоративному подоходному налогу</t>
  </si>
  <si>
    <t>Текущие активы по налогам и платежам в бюджет</t>
  </si>
  <si>
    <t>Прочие краткосрочные активы</t>
  </si>
  <si>
    <t>Денежные средства и их эквиваленты</t>
  </si>
  <si>
    <t>Активы предназначенные для продажи</t>
  </si>
  <si>
    <t>Итого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</si>
  <si>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</si>
  <si>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</si>
  <si>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</si>
  <si>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</si>
  <si>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Выкупленные акции</t>
  </si>
  <si>
    <t>Нераспределённая прибыль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</si>
  <si>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</si>
  <si>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</si>
  <si>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</si>
  <si>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Банковские займы, долгосрочные</t>
  </si>
  <si>
    <t>Займы, полученные от связанных сторон, долгосрочные</t>
  </si>
  <si>
    <t>Обязательства по вознаграждениям работникам 
    с установленными выплатами</t>
  </si>
  <si>
    <t>Обязательства по аренде, долгосрочные</t>
  </si>
  <si>
    <t>Обязательства по привилегированным акциям</t>
  </si>
  <si>
    <t>Обязательства по отложенному налогу</t>
  </si>
  <si>
    <t>Резервы по контрактам на недропользование</t>
  </si>
  <si>
    <t>Обязательства по контрактам на недропользование, долгосрочные</t>
  </si>
  <si>
    <t>Прочие долгосрочные обязательства</t>
  </si>
  <si>
    <t>Обязательства по договорам с покупателями, долгосрочные</t>
  </si>
  <si>
    <t>Краткосрочные обязательства</t>
  </si>
  <si>
    <t>Банковские займы, краткосрочные</t>
  </si>
  <si>
    <t>Обязательства по аренде, краткосрочные</t>
  </si>
  <si>
    <t>Торговая и прочая кредиторская задолженность</t>
  </si>
  <si>
    <t>Корпоративный подоходный налог к уплате</t>
  </si>
  <si>
    <t>Текущие обязательства по налогам и платежам в бюджет</t>
  </si>
  <si>
    <t>Обязательства по контрактам на недропользование, краткосрочные</t>
  </si>
  <si>
    <t>Прочие финансовые обязательства</t>
  </si>
  <si>
    <t xml:space="preserve">Обязательства по договорам с покупателями, краткосрочные </t>
  </si>
  <si>
    <t>Итого обязательства</t>
  </si>
  <si>
    <t>Итого капитал и обязательства</t>
  </si>
  <si>
    <t>Балансовая стоимость одной простой акции в тенге</t>
  </si>
  <si>
    <t>Балансовая стоимость одной привилегированной акции в тенге</t>
  </si>
  <si>
    <t>Приходится на акционеров материнской компании</t>
  </si>
  <si>
    <t>Дополни-
тельный оплачен-
ный капитал</t>
  </si>
  <si>
    <t>Выкуп-
ленные 
акции</t>
  </si>
  <si>
    <t>Непокрытый убыток</t>
  </si>
  <si>
    <t>Итого</t>
  </si>
  <si>
    <t>Неконт-
рольные 
доли 
участия</t>
  </si>
  <si>
    <t>Итого
капитал</t>
  </si>
  <si>
    <t>На 1 января 2019 года</t>
  </si>
  <si>
    <t>Прибыль за период</t>
  </si>
  <si>
    <t>Итого совокупный доход за период</t>
  </si>
  <si>
    <t>На 31 марта 2019 года</t>
  </si>
  <si>
    <t>На 1 января 2020 года</t>
  </si>
  <si>
    <t>Убыток за период</t>
  </si>
  <si>
    <t>Итого совокупный убыток за период</t>
  </si>
  <si>
    <t>На 31 марта 2020 года</t>
  </si>
  <si>
    <t>За три месяца, 
закончившихся 31 марта</t>
  </si>
  <si>
    <t>Денежные потоки от операционной деятельности</t>
  </si>
  <si>
    <t>Корректировки на:</t>
  </si>
  <si>
    <t>Износ и амортизацию</t>
  </si>
  <si>
    <t>Начисление резерва по неиспользованным отпускам</t>
  </si>
  <si>
    <t>Начисление резерва по бонусам</t>
  </si>
  <si>
    <t>Убыток/(доход) от выбытия основных средств</t>
  </si>
  <si>
    <t>Доход от списания торговой кредиторской задолженности</t>
  </si>
  <si>
    <t>Курсовая разница, нетто</t>
  </si>
  <si>
    <t>Расходы по выполнению социальных обязательств</t>
  </si>
  <si>
    <t>Денежные потоки от операционной деятельности до изменений в 
    оборотном капитале</t>
  </si>
  <si>
    <t>Изменение в оборотном капитале</t>
  </si>
  <si>
    <t>Изменение в текущих активах по налогам и платежам в бюджет</t>
  </si>
  <si>
    <t>Изменение в товарно-материальных запасах</t>
  </si>
  <si>
    <t>Изменение в торговой и прочей дебиторской задолженности</t>
  </si>
  <si>
    <t>Изменение в авансах выданных</t>
  </si>
  <si>
    <t>Изменение в прочих краткосрочных и долгосрочных активах</t>
  </si>
  <si>
    <t>Изменение в торговой и прочей кредиторской задолженности</t>
  </si>
  <si>
    <t>Изменение в текущих обязательствах по налогам и платежам 
    в бюджет</t>
  </si>
  <si>
    <t>Изменения в обязательствах по договорам с покупателями</t>
  </si>
  <si>
    <t>Изменение в прочих краткосрочных и долгосрочных обязательствах</t>
  </si>
  <si>
    <t>Поступление денежных средств от операционной деятельности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</si>
  <si>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</si>
  <si>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</si>
  <si>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</si>
  <si>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 и активов в форме права 
    пользования</t>
  </si>
  <si>
    <t>Поступления от выбытия нематериальных активов</t>
  </si>
  <si>
    <t>Приобретение активов по разведке и оценке</t>
  </si>
  <si>
    <t>Приобретение нематериальных активов</t>
  </si>
  <si>
    <t>Поступления от выбытия основных средств</t>
  </si>
  <si>
    <t>Переводы в денежные средства, ограниченные в использовании</t>
  </si>
  <si>
    <t>Вознаграждения полученные по депозитам</t>
  </si>
  <si>
    <t>Погашение обязательств по контрактам</t>
  </si>
  <si>
    <t>Погашение предоставленных займов связанным сторонам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</si>
  <si>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</si>
  <si>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</si>
  <si>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Погашение займов связанным сторонам</t>
  </si>
  <si>
    <t>Получение банковских займов</t>
  </si>
  <si>
    <t>Погашение банковских займов</t>
  </si>
  <si>
    <t>Выплата процентов по банковским займам</t>
  </si>
  <si>
    <t>Платежи по договорам аренды</t>
  </si>
  <si>
    <t>Чистые денежные потоки, использованные  в финансовой деятельности</t>
  </si>
  <si>
    <t>Чистое изменение денежных средств и их эквивалентов</t>
  </si>
  <si>
    <t>Эффект от курсовой разницы на денежные средства и их эквиваленты</t>
  </si>
  <si>
    <t>Изменение в резерве под ожидаемые кредитные убытки</t>
  </si>
  <si>
    <t>Денежные средства и их эквиваленты на начало периода</t>
  </si>
  <si>
    <t>Денежные средства и их эквиваленты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</si>
</sst>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9]mmm\ yy;@"/>
    <numFmt numFmtId="165" formatCode="_(* #,##0.00_);_(* \(#,##0.00\);_(* &quot;-&quot;??_);_(@_)"/>
    <numFmt numFmtId="166" formatCode="_(* #,##0_);_(* \(#,##0\);_(* &quot;-&quot;_);_(@_)"/>
    <numFmt numFmtId="168" formatCode="_-* #,##0\ _₽_-;\-* #,##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/>
    <xf numFmtId="0" fontId="19" fillId="0" borderId="0"/>
  </cellStyleXfs>
  <cellXfs count="136">
    <xf numFmtId="0" fontId="0" fillId="0" borderId="0" xfId="0"/>
    <xf numFmtId="165" fontId="2" fillId="2" borderId="0" xfId="2" applyNumberFormat="1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166" fontId="3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4" fontId="2" fillId="2" borderId="0" xfId="2" applyNumberFormat="1" applyFont="1" applyFill="1" applyAlignment="1">
      <alignment horizontal="left"/>
    </xf>
    <xf numFmtId="0" fontId="6" fillId="2" borderId="0" xfId="0" applyFont="1" applyFill="1"/>
    <xf numFmtId="164" fontId="7" fillId="2" borderId="0" xfId="2" applyFont="1" applyFill="1" applyAlignment="1">
      <alignment horizontal="left"/>
    </xf>
    <xf numFmtId="0" fontId="8" fillId="2" borderId="0" xfId="0" applyFont="1" applyFill="1"/>
    <xf numFmtId="0" fontId="9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/>
    </xf>
    <xf numFmtId="166" fontId="10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66" fontId="8" fillId="2" borderId="0" xfId="0" applyNumberFormat="1" applyFont="1" applyFill="1"/>
    <xf numFmtId="166" fontId="3" fillId="2" borderId="0" xfId="0" applyNumberFormat="1" applyFont="1" applyFill="1"/>
    <xf numFmtId="166" fontId="8" fillId="2" borderId="1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vertical="center"/>
    </xf>
    <xf numFmtId="166" fontId="8" fillId="2" borderId="3" xfId="0" applyNumberFormat="1" applyFont="1" applyFill="1" applyBorder="1" applyAlignment="1">
      <alignment vertical="center"/>
    </xf>
    <xf numFmtId="3" fontId="3" fillId="2" borderId="0" xfId="0" applyNumberFormat="1" applyFont="1" applyFill="1"/>
    <xf numFmtId="166" fontId="11" fillId="2" borderId="0" xfId="0" applyNumberFormat="1" applyFont="1" applyFill="1"/>
    <xf numFmtId="166" fontId="7" fillId="2" borderId="0" xfId="0" applyNumberFormat="1" applyFont="1" applyFill="1"/>
    <xf numFmtId="166" fontId="13" fillId="2" borderId="0" xfId="0" applyNumberFormat="1" applyFont="1" applyFill="1"/>
    <xf numFmtId="0" fontId="9" fillId="2" borderId="1" xfId="0" applyFont="1" applyFill="1" applyBorder="1"/>
    <xf numFmtId="3" fontId="8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wrapText="1"/>
    </xf>
    <xf numFmtId="3" fontId="8" fillId="2" borderId="1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/>
    <xf numFmtId="3" fontId="10" fillId="2" borderId="4" xfId="0" applyNumberFormat="1" applyFont="1" applyFill="1" applyBorder="1" applyAlignment="1">
      <alignment horizontal="center"/>
    </xf>
    <xf numFmtId="4" fontId="10" fillId="2" borderId="0" xfId="0" applyNumberFormat="1" applyFont="1" applyFill="1" applyAlignment="1">
      <alignment vertical="center"/>
    </xf>
    <xf numFmtId="166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0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/>
    <xf numFmtId="3" fontId="10" fillId="2" borderId="2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10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left" wrapText="1"/>
    </xf>
    <xf numFmtId="3" fontId="8" fillId="2" borderId="4" xfId="0" applyNumberFormat="1" applyFont="1" applyFill="1" applyBorder="1" applyAlignment="1">
      <alignment horizontal="center"/>
    </xf>
    <xf numFmtId="3" fontId="15" fillId="2" borderId="4" xfId="0" applyNumberFormat="1" applyFont="1" applyFill="1" applyBorder="1" applyAlignment="1">
      <alignment horizontal="center"/>
    </xf>
    <xf numFmtId="166" fontId="14" fillId="2" borderId="4" xfId="0" applyNumberFormat="1" applyFont="1" applyFill="1" applyBorder="1"/>
    <xf numFmtId="166" fontId="14" fillId="2" borderId="0" xfId="0" applyNumberFormat="1" applyFont="1" applyFill="1"/>
    <xf numFmtId="0" fontId="14" fillId="2" borderId="5" xfId="0" applyFont="1" applyFill="1" applyBorder="1" applyAlignment="1">
      <alignment horizontal="left"/>
    </xf>
    <xf numFmtId="3" fontId="8" fillId="2" borderId="5" xfId="0" applyNumberFormat="1" applyFont="1" applyFill="1" applyBorder="1" applyAlignment="1">
      <alignment horizontal="center"/>
    </xf>
    <xf numFmtId="166" fontId="14" fillId="2" borderId="5" xfId="0" applyNumberFormat="1" applyFont="1" applyFill="1" applyBorder="1"/>
    <xf numFmtId="3" fontId="15" fillId="2" borderId="5" xfId="0" applyNumberFormat="1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right"/>
    </xf>
    <xf numFmtId="166" fontId="3" fillId="2" borderId="4" xfId="0" applyNumberFormat="1" applyFont="1" applyFill="1" applyBorder="1"/>
    <xf numFmtId="166" fontId="3" fillId="2" borderId="4" xfId="0" applyNumberFormat="1" applyFont="1" applyFill="1" applyBorder="1" applyAlignment="1">
      <alignment vertical="center"/>
    </xf>
    <xf numFmtId="168" fontId="3" fillId="2" borderId="0" xfId="1" applyNumberFormat="1" applyFont="1" applyFill="1" applyBorder="1"/>
    <xf numFmtId="166" fontId="3" fillId="2" borderId="2" xfId="0" applyNumberFormat="1" applyFont="1" applyFill="1" applyBorder="1" applyAlignment="1">
      <alignment vertical="center"/>
    </xf>
    <xf numFmtId="0" fontId="3" fillId="2" borderId="1" xfId="0" applyFont="1" applyFill="1" applyBorder="1"/>
    <xf numFmtId="166" fontId="8" fillId="2" borderId="1" xfId="0" applyNumberFormat="1" applyFont="1" applyFill="1" applyBorder="1"/>
    <xf numFmtId="166" fontId="8" fillId="2" borderId="4" xfId="0" applyNumberFormat="1" applyFont="1" applyFill="1" applyBorder="1" applyAlignment="1">
      <alignment vertical="center"/>
    </xf>
    <xf numFmtId="168" fontId="3" fillId="2" borderId="0" xfId="1" applyNumberFormat="1" applyFont="1" applyFill="1"/>
    <xf numFmtId="166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3" fontId="8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wrapText="1"/>
    </xf>
    <xf numFmtId="0" fontId="8" fillId="2" borderId="3" xfId="0" applyFont="1" applyFill="1" applyBorder="1"/>
    <xf numFmtId="37" fontId="13" fillId="2" borderId="1" xfId="3" applyNumberFormat="1" applyFont="1" applyFill="1" applyBorder="1"/>
    <xf numFmtId="0" fontId="8" fillId="2" borderId="4" xfId="0" applyFont="1" applyFill="1" applyBorder="1" applyAlignment="1">
      <alignment wrapText="1"/>
    </xf>
    <xf numFmtId="3" fontId="3" fillId="2" borderId="0" xfId="0" applyNumberFormat="1" applyFont="1" applyFill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/>
    </xf>
    <xf numFmtId="166" fontId="12" fillId="2" borderId="0" xfId="0" applyNumberFormat="1" applyFont="1" applyFill="1"/>
    <xf numFmtId="0" fontId="5" fillId="2" borderId="3" xfId="0" applyFont="1" applyFill="1" applyBorder="1" applyAlignment="1">
      <alignment wrapText="1"/>
    </xf>
    <xf numFmtId="3" fontId="10" fillId="2" borderId="3" xfId="0" applyNumberFormat="1" applyFont="1" applyFill="1" applyBorder="1" applyAlignment="1">
      <alignment horizontal="center"/>
    </xf>
    <xf numFmtId="166" fontId="8" fillId="2" borderId="3" xfId="0" applyNumberFormat="1" applyFont="1" applyFill="1" applyBorder="1"/>
    <xf numFmtId="0" fontId="5" fillId="2" borderId="0" xfId="0" applyFont="1" applyFill="1"/>
    <xf numFmtId="0" fontId="5" fillId="2" borderId="1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vertical="center"/>
    </xf>
    <xf numFmtId="168" fontId="16" fillId="2" borderId="0" xfId="1" applyNumberFormat="1" applyFont="1" applyFill="1" applyBorder="1" applyAlignment="1">
      <alignment vertical="center" wrapText="1"/>
    </xf>
    <xf numFmtId="168" fontId="17" fillId="2" borderId="0" xfId="1" applyNumberFormat="1" applyFont="1" applyFill="1" applyBorder="1" applyAlignment="1">
      <alignment vertical="center" wrapText="1"/>
    </xf>
    <xf numFmtId="168" fontId="18" fillId="2" borderId="0" xfId="1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13" xfId="2" xr:uid="{BDE7B495-F1D5-4DC4-A827-45D46FA9016D}"/>
    <cellStyle name="Normal_Worksheet in 2251 Cash Flow Worksheet" xfId="3" xr:uid="{400140FF-FE01-4F43-97FF-FA092B35C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76F3F-D80D-40F6-B06D-CC3FA9D4261B}">
  <dimension ref="A1:AA223"/>
  <sheetViews>
    <sheetView tabSelected="1" topLeftCell="A8" workbookViewId="0">
      <selection activeCell="D18" sqref="D18"/>
    </sheetView>
  </sheetViews>
  <sheetFormatPr defaultColWidth="9.109375" defaultRowHeight="13.2" x14ac:dyDescent="0.25"/>
  <cols>
    <col min="1" max="1" width="10.6640625" style="2" bestFit="1" customWidth="1"/>
    <col min="2" max="2" width="5.33203125" style="2" customWidth="1"/>
    <col min="3" max="3" width="79.21875" style="2" bestFit="1" customWidth="1"/>
    <col min="4" max="4" width="2.33203125" style="2" customWidth="1"/>
    <col min="5" max="5" width="7.109375" style="2" bestFit="1" customWidth="1"/>
    <col min="6" max="6" width="2.33203125" style="2" bestFit="1" customWidth="1"/>
    <col min="7" max="7" width="17" style="2" customWidth="1"/>
    <col min="8" max="8" width="2.33203125" style="2" customWidth="1"/>
    <col min="9" max="9" width="17" style="2" customWidth="1"/>
    <col min="10" max="10" width="2.33203125" style="2" customWidth="1"/>
    <col min="11" max="11" width="13.44140625" style="2" customWidth="1" collapsed="1"/>
    <col min="12" max="12" width="2.33203125" style="2" customWidth="1"/>
    <col min="13" max="13" width="16.109375" style="4" customWidth="1"/>
    <col min="14" max="14" width="2.6640625" style="2" customWidth="1"/>
    <col min="15" max="15" width="14.44140625" style="2" bestFit="1" customWidth="1"/>
    <col min="16" max="16" width="2.5546875" style="2" customWidth="1"/>
    <col min="17" max="17" width="12.6640625" style="2" customWidth="1"/>
    <col min="18" max="18" width="2.33203125" style="2" customWidth="1"/>
    <col min="19" max="19" width="12.88671875" style="2" customWidth="1"/>
    <col min="20" max="20" width="18.33203125" style="2" customWidth="1"/>
    <col min="21" max="21" width="11.33203125" style="2" customWidth="1"/>
    <col min="22" max="22" width="10.44140625" style="2" customWidth="1"/>
    <col min="23" max="24" width="12.109375" style="2" customWidth="1"/>
    <col min="25" max="27" width="11.6640625" style="2" customWidth="1"/>
    <col min="28" max="28" width="11.5546875" style="2" customWidth="1"/>
    <col min="29" max="31" width="9.109375" style="2"/>
    <col min="32" max="32" width="15.44140625" style="2" customWidth="1"/>
    <col min="33" max="43" width="9.109375" style="2"/>
    <col min="44" max="44" width="11.88671875" style="2" bestFit="1" customWidth="1"/>
    <col min="45" max="16384" width="9.109375" style="2"/>
  </cols>
  <sheetData>
    <row r="1" spans="1:15" x14ac:dyDescent="0.25">
      <c r="A1" s="1" t="s">
        <v>0</v>
      </c>
      <c r="C1" s="3" t="s">
        <v>1</v>
      </c>
      <c r="D1" s="3" t="s">
        <v>2</v>
      </c>
      <c r="E1" s="3" t="s">
        <v>3</v>
      </c>
      <c r="F1" s="3" t="s">
        <v>2</v>
      </c>
      <c r="G1" s="3" t="s">
        <v>4</v>
      </c>
      <c r="H1" s="3" t="s">
        <v>2</v>
      </c>
      <c r="I1" s="3" t="s">
        <v>4</v>
      </c>
      <c r="J1" s="3" t="s">
        <v>2</v>
      </c>
    </row>
    <row r="2" spans="1:15" x14ac:dyDescent="0.25">
      <c r="A2" s="1" t="s">
        <v>5</v>
      </c>
      <c r="C2" s="5"/>
    </row>
    <row r="3" spans="1:15" x14ac:dyDescent="0.25">
      <c r="A3" s="6">
        <v>43830</v>
      </c>
      <c r="I3" s="7"/>
    </row>
    <row r="4" spans="1:15" x14ac:dyDescent="0.25">
      <c r="A4" s="8" t="s">
        <v>6</v>
      </c>
    </row>
    <row r="5" spans="1:15" x14ac:dyDescent="0.25">
      <c r="G5" s="93" t="s">
        <v>7</v>
      </c>
      <c r="H5" s="93"/>
      <c r="I5" s="93"/>
    </row>
    <row r="6" spans="1:15" ht="13.2" customHeight="1" x14ac:dyDescent="0.25">
      <c r="B6" s="9" t="s">
        <v>8</v>
      </c>
      <c r="G6" s="94"/>
      <c r="H6" s="94"/>
      <c r="I6" s="94"/>
    </row>
    <row r="7" spans="1:15" x14ac:dyDescent="0.25">
      <c r="C7" s="10" t="s">
        <v>9</v>
      </c>
      <c r="D7" s="10"/>
      <c r="E7" s="11" t="s">
        <v>10</v>
      </c>
      <c r="F7" s="11"/>
      <c r="G7" s="12" t="s">
        <v>11</v>
      </c>
      <c r="H7" s="13"/>
      <c r="I7" s="12" t="s">
        <v>12</v>
      </c>
    </row>
    <row r="8" spans="1:15" x14ac:dyDescent="0.25">
      <c r="C8" s="5"/>
      <c r="D8" s="5"/>
      <c r="E8" s="14"/>
      <c r="F8" s="14"/>
      <c r="G8" s="15"/>
      <c r="H8" s="15"/>
      <c r="I8" s="15"/>
      <c r="J8" s="15"/>
      <c r="N8" s="4"/>
      <c r="O8" s="4"/>
    </row>
    <row r="9" spans="1:15" x14ac:dyDescent="0.25">
      <c r="C9" s="5" t="s">
        <v>13</v>
      </c>
      <c r="D9" s="5"/>
      <c r="E9" s="16">
        <v>6</v>
      </c>
      <c r="F9" s="16"/>
      <c r="G9" s="4">
        <v>54426919</v>
      </c>
      <c r="H9" s="4"/>
      <c r="I9" s="4">
        <v>16996664</v>
      </c>
      <c r="J9" s="17"/>
      <c r="N9" s="4"/>
      <c r="O9" s="4"/>
    </row>
    <row r="10" spans="1:15" x14ac:dyDescent="0.25">
      <c r="C10" s="18" t="s">
        <v>14</v>
      </c>
      <c r="D10" s="18"/>
      <c r="E10" s="19">
        <v>7</v>
      </c>
      <c r="F10" s="19"/>
      <c r="G10" s="20">
        <v>-26429776</v>
      </c>
      <c r="H10" s="20"/>
      <c r="I10" s="20">
        <v>-10159523</v>
      </c>
      <c r="J10" s="17"/>
      <c r="N10" s="4"/>
      <c r="O10" s="4"/>
    </row>
    <row r="11" spans="1:15" x14ac:dyDescent="0.25">
      <c r="C11" s="21" t="s">
        <v>15</v>
      </c>
      <c r="D11" s="21"/>
      <c r="E11" s="16"/>
      <c r="F11" s="16"/>
      <c r="G11" s="17">
        <f>SUM(G9:G10)</f>
        <v>27997143</v>
      </c>
      <c r="H11" s="17"/>
      <c r="I11" s="17">
        <f>SUM(I9:I10)</f>
        <v>6837141</v>
      </c>
      <c r="J11" s="17"/>
      <c r="N11" s="4"/>
      <c r="O11" s="4"/>
    </row>
    <row r="12" spans="1:15" x14ac:dyDescent="0.25">
      <c r="C12" s="21"/>
      <c r="D12" s="21"/>
      <c r="E12" s="16"/>
      <c r="F12" s="16"/>
      <c r="G12" s="22"/>
      <c r="H12" s="23"/>
      <c r="I12" s="23"/>
      <c r="J12" s="17"/>
      <c r="N12" s="4"/>
      <c r="O12" s="4"/>
    </row>
    <row r="13" spans="1:15" x14ac:dyDescent="0.25">
      <c r="C13" s="5" t="s">
        <v>16</v>
      </c>
      <c r="D13" s="5"/>
      <c r="E13" s="16">
        <v>8</v>
      </c>
      <c r="F13" s="16"/>
      <c r="G13" s="4">
        <v>-4322671</v>
      </c>
      <c r="H13" s="4"/>
      <c r="I13" s="4">
        <f>-875409-665</f>
        <v>-876074</v>
      </c>
      <c r="J13" s="23"/>
      <c r="N13" s="4"/>
      <c r="O13" s="4"/>
    </row>
    <row r="14" spans="1:15" x14ac:dyDescent="0.25">
      <c r="C14" s="5" t="s">
        <v>17</v>
      </c>
      <c r="D14" s="5"/>
      <c r="E14" s="16">
        <v>9</v>
      </c>
      <c r="F14" s="16"/>
      <c r="G14" s="4">
        <v>-419589</v>
      </c>
      <c r="H14" s="4"/>
      <c r="I14" s="4">
        <v>0</v>
      </c>
      <c r="J14" s="17"/>
      <c r="N14" s="4"/>
      <c r="O14" s="4"/>
    </row>
    <row r="15" spans="1:15" x14ac:dyDescent="0.25">
      <c r="C15" s="5" t="s">
        <v>18</v>
      </c>
      <c r="D15" s="5"/>
      <c r="E15" s="16">
        <v>10</v>
      </c>
      <c r="F15" s="16"/>
      <c r="G15" s="4">
        <v>856872</v>
      </c>
      <c r="H15" s="4"/>
      <c r="I15" s="4">
        <v>382506</v>
      </c>
      <c r="J15" s="17"/>
      <c r="N15" s="4"/>
      <c r="O15" s="4"/>
    </row>
    <row r="16" spans="1:15" x14ac:dyDescent="0.25">
      <c r="C16" s="5" t="s">
        <v>19</v>
      </c>
      <c r="D16" s="5"/>
      <c r="E16" s="16">
        <f>E15</f>
        <v>10</v>
      </c>
      <c r="F16" s="16"/>
      <c r="G16" s="4">
        <v>-578398</v>
      </c>
      <c r="H16" s="4"/>
      <c r="I16" s="4">
        <v>-584213</v>
      </c>
      <c r="J16" s="17"/>
      <c r="N16" s="4"/>
      <c r="O16" s="4"/>
    </row>
    <row r="17" spans="3:15" x14ac:dyDescent="0.25">
      <c r="C17" s="5" t="s">
        <v>20</v>
      </c>
      <c r="D17" s="16"/>
      <c r="E17" s="16">
        <v>11</v>
      </c>
      <c r="F17" s="16"/>
      <c r="G17" s="4">
        <v>-119869</v>
      </c>
      <c r="H17" s="4"/>
      <c r="I17" s="4">
        <v>0</v>
      </c>
      <c r="J17" s="17"/>
      <c r="N17" s="4"/>
      <c r="O17" s="4"/>
    </row>
    <row r="18" spans="3:15" x14ac:dyDescent="0.25">
      <c r="C18" s="18" t="s">
        <v>21</v>
      </c>
      <c r="D18" s="19"/>
      <c r="E18" s="19">
        <v>12</v>
      </c>
      <c r="F18" s="19"/>
      <c r="G18" s="20">
        <v>70222</v>
      </c>
      <c r="H18" s="20"/>
      <c r="I18" s="20">
        <v>665</v>
      </c>
      <c r="J18" s="17"/>
      <c r="N18" s="4"/>
      <c r="O18" s="4"/>
    </row>
    <row r="19" spans="3:15" x14ac:dyDescent="0.25">
      <c r="C19" s="21" t="s">
        <v>22</v>
      </c>
      <c r="D19" s="21"/>
      <c r="E19" s="16"/>
      <c r="F19" s="16"/>
      <c r="G19" s="17">
        <f>SUM(G11:G18)</f>
        <v>23483710</v>
      </c>
      <c r="H19" s="17"/>
      <c r="I19" s="17">
        <f>SUM(I11:I18)</f>
        <v>5760025</v>
      </c>
      <c r="J19" s="17"/>
      <c r="N19" s="4"/>
      <c r="O19" s="4"/>
    </row>
    <row r="20" spans="3:15" x14ac:dyDescent="0.25">
      <c r="C20" s="5"/>
      <c r="D20" s="5"/>
      <c r="E20" s="16"/>
      <c r="F20" s="16"/>
      <c r="G20" s="23"/>
      <c r="H20" s="23"/>
      <c r="I20" s="23"/>
      <c r="J20" s="17"/>
      <c r="N20" s="4"/>
      <c r="O20" s="4"/>
    </row>
    <row r="21" spans="3:15" x14ac:dyDescent="0.25">
      <c r="C21" s="5" t="s">
        <v>23</v>
      </c>
      <c r="D21" s="5"/>
      <c r="E21" s="16">
        <v>13</v>
      </c>
      <c r="F21" s="16"/>
      <c r="G21" s="4">
        <v>123942</v>
      </c>
      <c r="H21" s="4"/>
      <c r="I21" s="4">
        <v>4340</v>
      </c>
      <c r="J21" s="17"/>
      <c r="N21" s="4"/>
      <c r="O21" s="4"/>
    </row>
    <row r="22" spans="3:15" x14ac:dyDescent="0.25">
      <c r="C22" s="5" t="s">
        <v>24</v>
      </c>
      <c r="D22" s="5"/>
      <c r="E22" s="16">
        <f>E21</f>
        <v>13</v>
      </c>
      <c r="F22" s="16"/>
      <c r="G22" s="4">
        <v>-2702152</v>
      </c>
      <c r="H22" s="4"/>
      <c r="I22" s="4">
        <v>-732217</v>
      </c>
      <c r="J22" s="17"/>
      <c r="N22" s="4"/>
      <c r="O22" s="4"/>
    </row>
    <row r="23" spans="3:15" x14ac:dyDescent="0.25">
      <c r="C23" s="18" t="s">
        <v>25</v>
      </c>
      <c r="D23" s="19"/>
      <c r="E23" s="19"/>
      <c r="F23" s="19"/>
      <c r="G23" s="20">
        <v>-35760100</v>
      </c>
      <c r="H23" s="20"/>
      <c r="I23" s="20">
        <v>632161</v>
      </c>
      <c r="J23" s="17"/>
      <c r="N23" s="4"/>
      <c r="O23" s="4"/>
    </row>
    <row r="24" spans="3:15" x14ac:dyDescent="0.25">
      <c r="C24" s="21" t="s">
        <v>26</v>
      </c>
      <c r="D24" s="16"/>
      <c r="E24" s="16"/>
      <c r="F24" s="16"/>
      <c r="G24" s="17">
        <f>SUM(G19:G23)</f>
        <v>-14854600</v>
      </c>
      <c r="H24" s="17"/>
      <c r="I24" s="17">
        <f>SUM(I19:I23)</f>
        <v>5664309</v>
      </c>
      <c r="J24" s="17"/>
      <c r="N24" s="4"/>
      <c r="O24" s="4"/>
    </row>
    <row r="25" spans="3:15" x14ac:dyDescent="0.25">
      <c r="C25" s="5"/>
      <c r="D25" s="16"/>
      <c r="E25" s="16"/>
      <c r="F25" s="16"/>
      <c r="G25" s="17"/>
      <c r="H25" s="17"/>
      <c r="I25" s="4"/>
      <c r="J25" s="17"/>
      <c r="N25" s="4"/>
      <c r="O25" s="4"/>
    </row>
    <row r="26" spans="3:15" x14ac:dyDescent="0.25">
      <c r="C26" s="18" t="s">
        <v>27</v>
      </c>
      <c r="D26" s="19"/>
      <c r="E26" s="19"/>
      <c r="F26" s="19"/>
      <c r="G26" s="20">
        <v>-334725</v>
      </c>
      <c r="H26" s="24"/>
      <c r="I26" s="20">
        <v>0</v>
      </c>
      <c r="J26" s="17"/>
      <c r="N26" s="4"/>
      <c r="O26" s="4"/>
    </row>
    <row r="27" spans="3:15" x14ac:dyDescent="0.25">
      <c r="C27" s="21" t="s">
        <v>28</v>
      </c>
      <c r="D27" s="16"/>
      <c r="E27" s="16"/>
      <c r="F27" s="16"/>
      <c r="G27" s="17">
        <f>SUM(G24:G26)</f>
        <v>-15189325</v>
      </c>
      <c r="H27" s="17"/>
      <c r="I27" s="17">
        <f>SUM(I24:I26)</f>
        <v>5664309</v>
      </c>
      <c r="J27" s="17"/>
      <c r="N27" s="4"/>
      <c r="O27" s="4"/>
    </row>
    <row r="28" spans="3:15" x14ac:dyDescent="0.25">
      <c r="C28" s="21"/>
      <c r="D28" s="16"/>
      <c r="E28" s="16"/>
      <c r="F28" s="16"/>
      <c r="G28" s="22"/>
      <c r="H28" s="17"/>
      <c r="I28" s="23"/>
      <c r="J28" s="17"/>
    </row>
    <row r="29" spans="3:15" x14ac:dyDescent="0.25">
      <c r="C29" s="18" t="s">
        <v>29</v>
      </c>
      <c r="D29" s="19"/>
      <c r="E29" s="19"/>
      <c r="F29" s="19"/>
      <c r="G29" s="24">
        <v>0</v>
      </c>
      <c r="H29" s="20"/>
      <c r="I29" s="20">
        <v>0</v>
      </c>
      <c r="J29" s="4"/>
    </row>
    <row r="30" spans="3:15" ht="13.8" thickBot="1" x14ac:dyDescent="0.3">
      <c r="C30" s="52" t="s">
        <v>30</v>
      </c>
      <c r="D30" s="25"/>
      <c r="E30" s="25"/>
      <c r="F30" s="25"/>
      <c r="G30" s="26">
        <f>SUM(G27:G29)</f>
        <v>-15189325</v>
      </c>
      <c r="H30" s="26"/>
      <c r="I30" s="26">
        <f>SUM(I27:I29)</f>
        <v>5664309</v>
      </c>
      <c r="J30" s="17"/>
    </row>
    <row r="31" spans="3:15" x14ac:dyDescent="0.25">
      <c r="C31" s="5"/>
      <c r="D31" s="16"/>
      <c r="E31" s="16"/>
      <c r="F31" s="16"/>
      <c r="G31" s="17"/>
      <c r="H31" s="17"/>
      <c r="I31" s="4"/>
      <c r="J31" s="17"/>
    </row>
    <row r="32" spans="3:15" x14ac:dyDescent="0.25">
      <c r="C32" s="21" t="s">
        <v>31</v>
      </c>
      <c r="D32" s="16"/>
      <c r="E32" s="16"/>
      <c r="F32" s="16"/>
      <c r="G32" s="22"/>
      <c r="H32" s="17"/>
      <c r="I32" s="23"/>
      <c r="J32" s="17"/>
    </row>
    <row r="33" spans="2:10" x14ac:dyDescent="0.25">
      <c r="C33" s="5" t="s">
        <v>32</v>
      </c>
      <c r="D33" s="16"/>
      <c r="E33" s="16"/>
      <c r="F33" s="16"/>
      <c r="G33" s="4">
        <v>-12125264</v>
      </c>
      <c r="H33" s="17"/>
      <c r="I33" s="4">
        <v>5664330</v>
      </c>
      <c r="J33" s="17"/>
    </row>
    <row r="34" spans="2:10" ht="13.8" thickBot="1" x14ac:dyDescent="0.3">
      <c r="C34" s="27" t="s">
        <v>33</v>
      </c>
      <c r="D34" s="28"/>
      <c r="E34" s="28"/>
      <c r="F34" s="28"/>
      <c r="G34" s="29">
        <v>-3064061</v>
      </c>
      <c r="H34" s="30"/>
      <c r="I34" s="29">
        <v>-21</v>
      </c>
      <c r="J34" s="17"/>
    </row>
    <row r="35" spans="2:10" x14ac:dyDescent="0.25">
      <c r="D35" s="31"/>
      <c r="E35" s="31"/>
      <c r="F35" s="31"/>
      <c r="G35" s="22"/>
      <c r="H35" s="23"/>
      <c r="I35" s="23"/>
      <c r="J35" s="32"/>
    </row>
    <row r="36" spans="2:10" x14ac:dyDescent="0.25">
      <c r="C36" s="21" t="s">
        <v>34</v>
      </c>
      <c r="D36" s="31"/>
      <c r="E36" s="31"/>
      <c r="F36" s="31"/>
      <c r="G36" s="33"/>
      <c r="H36" s="32"/>
      <c r="I36" s="32"/>
      <c r="J36" s="32"/>
    </row>
    <row r="37" spans="2:10" x14ac:dyDescent="0.25">
      <c r="C37" s="2" t="s">
        <v>35</v>
      </c>
      <c r="D37" s="31"/>
      <c r="E37" s="31"/>
      <c r="F37" s="31"/>
      <c r="G37" s="17">
        <v>10833333</v>
      </c>
      <c r="H37" s="4"/>
      <c r="I37" s="17">
        <v>10833333</v>
      </c>
      <c r="J37" s="23"/>
    </row>
    <row r="38" spans="2:10" x14ac:dyDescent="0.25">
      <c r="C38" s="2" t="s">
        <v>36</v>
      </c>
      <c r="E38" s="31"/>
      <c r="F38" s="31"/>
      <c r="G38" s="124">
        <v>0</v>
      </c>
      <c r="H38" s="34"/>
      <c r="I38" s="124">
        <v>0</v>
      </c>
      <c r="J38" s="34"/>
    </row>
    <row r="39" spans="2:10" x14ac:dyDescent="0.25">
      <c r="C39" s="2" t="s">
        <v>37</v>
      </c>
      <c r="E39" s="31"/>
      <c r="F39" s="31"/>
      <c r="G39" s="22">
        <f>G40</f>
        <v>-1119</v>
      </c>
      <c r="H39" s="4"/>
      <c r="I39" s="22">
        <f>I40</f>
        <v>523</v>
      </c>
      <c r="J39" s="4"/>
    </row>
    <row r="40" spans="2:10" x14ac:dyDescent="0.25">
      <c r="C40" s="2" t="s">
        <v>38</v>
      </c>
      <c r="E40" s="31"/>
      <c r="F40" s="31"/>
      <c r="G40" s="17">
        <f>G41</f>
        <v>-1119</v>
      </c>
      <c r="H40" s="4"/>
      <c r="I40" s="17">
        <f>I41</f>
        <v>523</v>
      </c>
      <c r="J40" s="4"/>
    </row>
    <row r="41" spans="2:10" ht="27" thickBot="1" x14ac:dyDescent="0.3">
      <c r="C41" s="125" t="s">
        <v>39</v>
      </c>
      <c r="D41" s="28"/>
      <c r="E41" s="126">
        <v>25</v>
      </c>
      <c r="F41" s="28"/>
      <c r="G41" s="127">
        <f>ROUND((G33)/G37*1000,)</f>
        <v>-1119</v>
      </c>
      <c r="H41" s="127"/>
      <c r="I41" s="127">
        <f>ROUND((I33)/I37*1000,)</f>
        <v>523</v>
      </c>
      <c r="J41" s="17"/>
    </row>
    <row r="42" spans="2:10" x14ac:dyDescent="0.25">
      <c r="D42" s="31"/>
      <c r="E42" s="31"/>
      <c r="F42" s="31"/>
      <c r="J42" s="32"/>
    </row>
    <row r="43" spans="2:10" x14ac:dyDescent="0.25">
      <c r="E43" s="31"/>
      <c r="F43" s="31"/>
      <c r="G43" s="31"/>
      <c r="H43" s="31"/>
      <c r="I43" s="7"/>
    </row>
    <row r="44" spans="2:10" x14ac:dyDescent="0.25">
      <c r="B44" s="9" t="s">
        <v>40</v>
      </c>
      <c r="E44" s="31"/>
      <c r="F44" s="31"/>
      <c r="G44" s="31"/>
      <c r="H44" s="31"/>
    </row>
    <row r="45" spans="2:10" ht="26.4" x14ac:dyDescent="0.25">
      <c r="C45" s="35" t="s">
        <v>9</v>
      </c>
      <c r="D45" s="10"/>
      <c r="E45" s="36" t="s">
        <v>10</v>
      </c>
      <c r="F45" s="11"/>
      <c r="G45" s="37" t="s">
        <v>41</v>
      </c>
      <c r="H45" s="38"/>
      <c r="I45" s="37" t="s">
        <v>42</v>
      </c>
      <c r="J45" s="39"/>
    </row>
    <row r="46" spans="2:10" x14ac:dyDescent="0.25">
      <c r="C46" s="5"/>
      <c r="D46" s="5"/>
      <c r="E46" s="40"/>
      <c r="F46" s="40"/>
      <c r="G46" s="41"/>
      <c r="H46" s="41"/>
      <c r="I46" s="128"/>
      <c r="J46" s="21"/>
    </row>
    <row r="47" spans="2:10" x14ac:dyDescent="0.25">
      <c r="C47" s="21" t="s">
        <v>43</v>
      </c>
      <c r="D47" s="21"/>
      <c r="E47" s="40"/>
      <c r="F47" s="40"/>
      <c r="G47" s="41"/>
      <c r="H47" s="41"/>
      <c r="I47" s="41"/>
      <c r="J47" s="15"/>
    </row>
    <row r="48" spans="2:10" x14ac:dyDescent="0.25">
      <c r="C48" s="21" t="s">
        <v>44</v>
      </c>
      <c r="D48" s="21"/>
      <c r="E48" s="40"/>
      <c r="F48" s="40"/>
      <c r="G48" s="41"/>
      <c r="H48" s="41"/>
      <c r="I48" s="41"/>
      <c r="J48" s="15"/>
    </row>
    <row r="49" spans="3:14" x14ac:dyDescent="0.25">
      <c r="C49" s="5" t="s">
        <v>45</v>
      </c>
      <c r="D49" s="5"/>
      <c r="E49" s="16">
        <v>14</v>
      </c>
      <c r="F49" s="16"/>
      <c r="G49" s="23">
        <v>157919447</v>
      </c>
      <c r="H49" s="41"/>
      <c r="I49" s="23">
        <f>ROUND(158605261,0)</f>
        <v>158605261</v>
      </c>
      <c r="J49" s="17"/>
      <c r="L49" s="23"/>
      <c r="N49" s="23"/>
    </row>
    <row r="50" spans="3:14" x14ac:dyDescent="0.25">
      <c r="C50" s="5" t="s">
        <v>46</v>
      </c>
      <c r="D50" s="5"/>
      <c r="E50" s="16">
        <v>15</v>
      </c>
      <c r="F50" s="16"/>
      <c r="G50" s="23">
        <v>1626937</v>
      </c>
      <c r="H50" s="41"/>
      <c r="I50" s="23">
        <f>ROUND(1645620,0)</f>
        <v>1645620</v>
      </c>
      <c r="J50" s="17"/>
      <c r="L50" s="23"/>
      <c r="N50" s="23"/>
    </row>
    <row r="51" spans="3:14" x14ac:dyDescent="0.25">
      <c r="C51" s="5" t="s">
        <v>47</v>
      </c>
      <c r="D51" s="5"/>
      <c r="E51" s="16">
        <v>16</v>
      </c>
      <c r="F51" s="16"/>
      <c r="G51" s="23">
        <v>11648471</v>
      </c>
      <c r="H51" s="41"/>
      <c r="I51" s="23">
        <f>ROUND(11410621,0)</f>
        <v>11410621</v>
      </c>
      <c r="J51" s="17"/>
      <c r="L51" s="23"/>
      <c r="N51" s="23"/>
    </row>
    <row r="52" spans="3:14" x14ac:dyDescent="0.25">
      <c r="C52" s="5" t="s">
        <v>48</v>
      </c>
      <c r="D52" s="5"/>
      <c r="E52" s="16"/>
      <c r="F52" s="16"/>
      <c r="G52" s="23">
        <v>221348</v>
      </c>
      <c r="H52" s="41"/>
      <c r="I52" s="23">
        <f>ROUND(223805,0)</f>
        <v>223805</v>
      </c>
      <c r="J52" s="17"/>
      <c r="L52" s="23"/>
      <c r="N52" s="23"/>
    </row>
    <row r="53" spans="3:14" x14ac:dyDescent="0.25">
      <c r="C53" s="5" t="s">
        <v>49</v>
      </c>
      <c r="D53" s="5"/>
      <c r="E53" s="16">
        <v>17</v>
      </c>
      <c r="F53" s="16"/>
      <c r="G53" s="23">
        <v>56809845</v>
      </c>
      <c r="H53" s="41"/>
      <c r="I53" s="23">
        <f>ROUND(57296221,0)</f>
        <v>57296221</v>
      </c>
      <c r="J53" s="17"/>
      <c r="N53" s="23"/>
    </row>
    <row r="54" spans="3:14" collapsed="1" x14ac:dyDescent="0.25">
      <c r="C54" s="5" t="s">
        <v>50</v>
      </c>
      <c r="D54" s="5"/>
      <c r="E54" s="16">
        <v>18</v>
      </c>
      <c r="F54" s="16"/>
      <c r="G54" s="23">
        <v>76335803</v>
      </c>
      <c r="H54" s="41"/>
      <c r="I54" s="23">
        <f>ROUND(52665611,0)</f>
        <v>52665611</v>
      </c>
      <c r="J54" s="17"/>
      <c r="N54" s="23"/>
    </row>
    <row r="55" spans="3:14" x14ac:dyDescent="0.25">
      <c r="C55" s="5" t="s">
        <v>51</v>
      </c>
      <c r="D55" s="5"/>
      <c r="E55" s="16"/>
      <c r="F55" s="16"/>
      <c r="G55" s="23">
        <v>6254944</v>
      </c>
      <c r="H55" s="41"/>
      <c r="I55" s="23">
        <f>ROUND(6254944,0)</f>
        <v>6254944</v>
      </c>
      <c r="J55" s="17"/>
    </row>
    <row r="56" spans="3:14" x14ac:dyDescent="0.25">
      <c r="C56" s="5" t="s">
        <v>52</v>
      </c>
      <c r="D56" s="5"/>
      <c r="E56" s="16"/>
      <c r="F56" s="16"/>
      <c r="G56" s="23">
        <v>2514885</v>
      </c>
      <c r="H56" s="41"/>
      <c r="I56" s="23">
        <f>ROUND(2656064.2,0)</f>
        <v>2656064</v>
      </c>
      <c r="J56" s="17"/>
      <c r="L56" s="23"/>
    </row>
    <row r="57" spans="3:14" x14ac:dyDescent="0.25">
      <c r="C57" s="5" t="s">
        <v>53</v>
      </c>
      <c r="D57" s="5"/>
      <c r="E57" s="16">
        <v>19</v>
      </c>
      <c r="F57" s="16"/>
      <c r="G57" s="23">
        <v>2450463</v>
      </c>
      <c r="H57" s="41"/>
      <c r="I57" s="23">
        <f>ROUND(893726,0)</f>
        <v>893726</v>
      </c>
      <c r="J57" s="17"/>
      <c r="N57" s="23"/>
    </row>
    <row r="58" spans="3:14" x14ac:dyDescent="0.25">
      <c r="C58" s="18" t="s">
        <v>54</v>
      </c>
      <c r="D58" s="18"/>
      <c r="E58" s="42"/>
      <c r="F58" s="42"/>
      <c r="G58" s="23">
        <v>27991</v>
      </c>
      <c r="H58" s="43"/>
      <c r="I58" s="23">
        <f>ROUND(24929,0)</f>
        <v>24929</v>
      </c>
      <c r="J58" s="17"/>
    </row>
    <row r="59" spans="3:14" x14ac:dyDescent="0.25">
      <c r="C59" s="44"/>
      <c r="D59" s="44"/>
      <c r="E59" s="45"/>
      <c r="F59" s="45"/>
      <c r="G59" s="46">
        <f>SUM(G49:G58)</f>
        <v>315810134</v>
      </c>
      <c r="H59" s="47"/>
      <c r="I59" s="46">
        <f>SUM(I49:I58)</f>
        <v>291676802</v>
      </c>
      <c r="J59" s="17"/>
    </row>
    <row r="60" spans="3:14" x14ac:dyDescent="0.25">
      <c r="C60" s="48"/>
      <c r="D60" s="48"/>
      <c r="E60" s="40"/>
      <c r="F60" s="40"/>
      <c r="H60" s="41"/>
      <c r="J60" s="17"/>
    </row>
    <row r="61" spans="3:14" x14ac:dyDescent="0.25">
      <c r="C61" s="21" t="s">
        <v>55</v>
      </c>
      <c r="D61" s="48"/>
      <c r="E61" s="40"/>
      <c r="F61" s="40"/>
      <c r="H61" s="41"/>
      <c r="J61" s="17"/>
    </row>
    <row r="62" spans="3:14" x14ac:dyDescent="0.25">
      <c r="C62" s="5" t="s">
        <v>56</v>
      </c>
      <c r="D62" s="5"/>
      <c r="E62" s="16">
        <v>20</v>
      </c>
      <c r="F62" s="16"/>
      <c r="G62" s="23">
        <v>56801687</v>
      </c>
      <c r="H62" s="41"/>
      <c r="I62" s="23">
        <f>ROUND(51926467,0)</f>
        <v>51926467</v>
      </c>
      <c r="J62" s="17"/>
      <c r="N62" s="23"/>
    </row>
    <row r="63" spans="3:14" x14ac:dyDescent="0.25">
      <c r="C63" s="5" t="s">
        <v>57</v>
      </c>
      <c r="D63" s="5"/>
      <c r="E63" s="16">
        <v>21</v>
      </c>
      <c r="F63" s="16"/>
      <c r="G63" s="23">
        <v>9397057</v>
      </c>
      <c r="H63" s="41"/>
      <c r="I63" s="23">
        <f>ROUND(13717420,0)</f>
        <v>13717420</v>
      </c>
      <c r="J63" s="17"/>
      <c r="N63" s="23"/>
    </row>
    <row r="64" spans="3:14" x14ac:dyDescent="0.25">
      <c r="C64" s="5" t="s">
        <v>58</v>
      </c>
      <c r="D64" s="5"/>
      <c r="E64" s="16">
        <v>22</v>
      </c>
      <c r="F64" s="16"/>
      <c r="G64" s="23">
        <v>12234143</v>
      </c>
      <c r="H64" s="41"/>
      <c r="I64" s="23">
        <f>ROUND(2456734,0)</f>
        <v>2456734</v>
      </c>
      <c r="J64" s="17"/>
      <c r="N64" s="23"/>
    </row>
    <row r="65" spans="3:14" x14ac:dyDescent="0.25">
      <c r="C65" s="5" t="s">
        <v>59</v>
      </c>
      <c r="D65" s="5"/>
      <c r="E65" s="16"/>
      <c r="F65" s="16"/>
      <c r="G65" s="23">
        <v>42013</v>
      </c>
      <c r="H65" s="41"/>
      <c r="I65" s="23">
        <f>ROUND(1012022,0)</f>
        <v>1012022</v>
      </c>
      <c r="J65" s="17"/>
      <c r="N65" s="23"/>
    </row>
    <row r="66" spans="3:14" x14ac:dyDescent="0.25">
      <c r="C66" s="5" t="s">
        <v>60</v>
      </c>
      <c r="D66" s="5"/>
      <c r="E66" s="16"/>
      <c r="F66" s="16"/>
      <c r="G66" s="23">
        <v>2374551</v>
      </c>
      <c r="H66" s="41"/>
      <c r="I66" s="23">
        <f>ROUND(1112811,0)</f>
        <v>1112811</v>
      </c>
      <c r="J66" s="17"/>
    </row>
    <row r="67" spans="3:14" x14ac:dyDescent="0.25">
      <c r="C67" s="5" t="s">
        <v>61</v>
      </c>
      <c r="D67" s="5"/>
      <c r="E67" s="16">
        <v>23</v>
      </c>
      <c r="F67" s="16"/>
      <c r="G67" s="23">
        <v>12421726</v>
      </c>
      <c r="H67" s="41"/>
      <c r="I67" s="23">
        <f>ROUND(17092576,0)</f>
        <v>17092576</v>
      </c>
      <c r="J67" s="17"/>
      <c r="N67" s="23"/>
    </row>
    <row r="68" spans="3:14" x14ac:dyDescent="0.25">
      <c r="C68" s="5" t="s">
        <v>62</v>
      </c>
      <c r="D68" s="5"/>
      <c r="E68" s="16"/>
      <c r="F68" s="16"/>
      <c r="G68" s="23">
        <v>674017</v>
      </c>
      <c r="H68" s="41"/>
      <c r="I68" s="23">
        <f>ROUND(139359,0)</f>
        <v>139359</v>
      </c>
      <c r="J68" s="17"/>
    </row>
    <row r="69" spans="3:14" x14ac:dyDescent="0.25">
      <c r="C69" s="18" t="s">
        <v>63</v>
      </c>
      <c r="D69" s="18"/>
      <c r="E69" s="11">
        <v>24</v>
      </c>
      <c r="F69" s="11"/>
      <c r="G69" s="49">
        <v>40042975</v>
      </c>
      <c r="H69" s="50"/>
      <c r="I69" s="49">
        <f>ROUND(17486185,0)</f>
        <v>17486185</v>
      </c>
      <c r="J69" s="17"/>
      <c r="N69" s="23"/>
    </row>
    <row r="70" spans="3:14" x14ac:dyDescent="0.25">
      <c r="C70" s="21"/>
      <c r="D70" s="21"/>
      <c r="E70" s="40"/>
      <c r="F70" s="40"/>
      <c r="G70" s="22">
        <f>SUM(G62:G69)</f>
        <v>133988169</v>
      </c>
      <c r="H70" s="51"/>
      <c r="I70" s="22">
        <f>SUM(I62:I69)</f>
        <v>104943574</v>
      </c>
      <c r="J70" s="17"/>
    </row>
    <row r="71" spans="3:14" x14ac:dyDescent="0.25">
      <c r="C71" s="21"/>
      <c r="D71" s="21"/>
      <c r="E71" s="40"/>
      <c r="F71" s="40"/>
      <c r="G71" s="22"/>
      <c r="H71" s="41"/>
      <c r="I71" s="23"/>
      <c r="J71" s="17"/>
    </row>
    <row r="72" spans="3:14" x14ac:dyDescent="0.25">
      <c r="C72" s="18" t="s">
        <v>64</v>
      </c>
      <c r="D72" s="18"/>
      <c r="E72" s="11"/>
      <c r="F72" s="11"/>
      <c r="G72" s="49">
        <v>106206</v>
      </c>
      <c r="H72" s="50"/>
      <c r="I72" s="49">
        <v>105142</v>
      </c>
      <c r="J72" s="17"/>
    </row>
    <row r="73" spans="3:14" x14ac:dyDescent="0.25">
      <c r="C73" s="21"/>
      <c r="D73" s="21"/>
      <c r="E73" s="40"/>
      <c r="F73" s="40"/>
      <c r="G73" s="22">
        <f>SUM(G70:G72)</f>
        <v>134094375</v>
      </c>
      <c r="H73" s="51"/>
      <c r="I73" s="22">
        <f>SUM(I70:I72)</f>
        <v>105048716</v>
      </c>
      <c r="J73" s="17"/>
    </row>
    <row r="74" spans="3:14" ht="13.8" thickBot="1" x14ac:dyDescent="0.3">
      <c r="C74" s="52" t="s">
        <v>65</v>
      </c>
      <c r="D74" s="52"/>
      <c r="E74" s="53"/>
      <c r="F74" s="53"/>
      <c r="G74" s="54">
        <f>G59+G70+G72</f>
        <v>449904509</v>
      </c>
      <c r="H74" s="55"/>
      <c r="I74" s="54">
        <f>I59+I70+I72</f>
        <v>396725518</v>
      </c>
      <c r="J74" s="17"/>
    </row>
    <row r="75" spans="3:14" x14ac:dyDescent="0.25">
      <c r="E75" s="56"/>
      <c r="F75" s="56"/>
      <c r="G75" s="56"/>
      <c r="H75" s="56"/>
      <c r="I75" s="56"/>
      <c r="J75" s="17"/>
    </row>
    <row r="76" spans="3:14" x14ac:dyDescent="0.25">
      <c r="E76" s="56"/>
      <c r="F76" s="56"/>
      <c r="G76" s="56"/>
      <c r="H76" s="56"/>
      <c r="I76" s="56"/>
    </row>
    <row r="77" spans="3:14" ht="26.4" x14ac:dyDescent="0.25">
      <c r="C77" s="35" t="s">
        <v>9</v>
      </c>
      <c r="D77" s="10"/>
      <c r="E77" s="36" t="s">
        <v>10</v>
      </c>
      <c r="F77" s="11"/>
      <c r="G77" s="37" t="s">
        <v>41</v>
      </c>
      <c r="H77" s="38"/>
      <c r="I77" s="129" t="s">
        <v>42</v>
      </c>
      <c r="J77" s="21"/>
    </row>
    <row r="78" spans="3:14" x14ac:dyDescent="0.25">
      <c r="C78" s="5"/>
      <c r="D78" s="5"/>
      <c r="E78" s="40"/>
      <c r="F78" s="40"/>
      <c r="G78" s="41"/>
      <c r="H78" s="41"/>
      <c r="I78" s="41"/>
      <c r="J78" s="15"/>
    </row>
    <row r="79" spans="3:14" x14ac:dyDescent="0.25">
      <c r="C79" s="21" t="s">
        <v>66</v>
      </c>
      <c r="D79" s="21"/>
      <c r="E79" s="40"/>
      <c r="F79" s="40"/>
      <c r="G79" s="41"/>
      <c r="H79" s="41"/>
      <c r="I79" s="41"/>
      <c r="J79" s="15"/>
    </row>
    <row r="80" spans="3:14" x14ac:dyDescent="0.25">
      <c r="C80" s="21" t="s">
        <v>67</v>
      </c>
      <c r="D80" s="21"/>
      <c r="E80" s="40"/>
      <c r="F80" s="40"/>
      <c r="G80" s="51"/>
      <c r="H80" s="41"/>
      <c r="I80" s="41"/>
      <c r="J80" s="15"/>
    </row>
    <row r="81" spans="3:14" x14ac:dyDescent="0.25">
      <c r="C81" s="5" t="s">
        <v>68</v>
      </c>
      <c r="D81" s="5"/>
      <c r="E81" s="16">
        <v>25</v>
      </c>
      <c r="F81" s="16"/>
      <c r="G81" s="23">
        <v>27114488</v>
      </c>
      <c r="H81" s="51"/>
      <c r="I81" s="23">
        <f>ROUND(27114488,0)</f>
        <v>27114488</v>
      </c>
      <c r="J81" s="17"/>
    </row>
    <row r="82" spans="3:14" x14ac:dyDescent="0.25">
      <c r="C82" s="5" t="s">
        <v>69</v>
      </c>
      <c r="D82" s="5"/>
      <c r="E82" s="16"/>
      <c r="F82" s="16"/>
      <c r="G82" s="23">
        <v>5656940</v>
      </c>
      <c r="H82" s="51"/>
      <c r="I82" s="23">
        <f>ROUND(5656940,0)</f>
        <v>5656940</v>
      </c>
      <c r="J82" s="17"/>
    </row>
    <row r="83" spans="3:14" x14ac:dyDescent="0.25">
      <c r="C83" s="5" t="s">
        <v>70</v>
      </c>
      <c r="D83" s="5"/>
      <c r="E83" s="16"/>
      <c r="F83" s="16"/>
      <c r="G83" s="23">
        <v>-24150</v>
      </c>
      <c r="H83" s="51"/>
      <c r="I83" s="23">
        <f>ROUND(-24150,0)</f>
        <v>-24150</v>
      </c>
      <c r="J83" s="17"/>
    </row>
    <row r="84" spans="3:14" x14ac:dyDescent="0.25">
      <c r="C84" s="18" t="s">
        <v>71</v>
      </c>
      <c r="D84" s="18"/>
      <c r="E84" s="19"/>
      <c r="F84" s="19"/>
      <c r="G84" s="49">
        <v>14809839</v>
      </c>
      <c r="H84" s="57"/>
      <c r="I84" s="49">
        <f>ROUND(26935103,0)</f>
        <v>26935103</v>
      </c>
      <c r="J84" s="17"/>
      <c r="K84" s="23"/>
      <c r="L84" s="23"/>
    </row>
    <row r="85" spans="3:14" x14ac:dyDescent="0.25">
      <c r="C85" s="21" t="s">
        <v>72</v>
      </c>
      <c r="D85" s="21"/>
      <c r="E85" s="16"/>
      <c r="F85" s="16"/>
      <c r="G85" s="22">
        <f>SUM(G81:G84)</f>
        <v>47557117</v>
      </c>
      <c r="H85" s="51"/>
      <c r="I85" s="22">
        <f>SUM(I81:I84)</f>
        <v>59682381</v>
      </c>
      <c r="J85" s="17"/>
    </row>
    <row r="86" spans="3:14" x14ac:dyDescent="0.25">
      <c r="C86" s="5"/>
      <c r="D86" s="5"/>
      <c r="E86" s="16"/>
      <c r="F86" s="16"/>
      <c r="G86" s="41"/>
      <c r="H86" s="51"/>
      <c r="I86" s="41"/>
      <c r="J86" s="17"/>
    </row>
    <row r="87" spans="3:14" x14ac:dyDescent="0.25">
      <c r="C87" s="18" t="s">
        <v>33</v>
      </c>
      <c r="D87" s="18"/>
      <c r="E87" s="19"/>
      <c r="F87" s="19"/>
      <c r="G87" s="23">
        <v>34693727</v>
      </c>
      <c r="H87" s="57"/>
      <c r="I87" s="23">
        <f>ROUND(37757788,0)</f>
        <v>37757788</v>
      </c>
      <c r="J87" s="17"/>
      <c r="K87" s="23"/>
      <c r="L87" s="23"/>
    </row>
    <row r="88" spans="3:14" x14ac:dyDescent="0.25">
      <c r="C88" s="44" t="s">
        <v>73</v>
      </c>
      <c r="D88" s="44"/>
      <c r="E88" s="58"/>
      <c r="F88" s="58"/>
      <c r="G88" s="46">
        <f>SUM(G85:G87)</f>
        <v>82250844</v>
      </c>
      <c r="H88" s="47"/>
      <c r="I88" s="46">
        <f>SUM(I85:I87)</f>
        <v>97440169</v>
      </c>
      <c r="J88" s="17"/>
      <c r="K88" s="23"/>
    </row>
    <row r="89" spans="3:14" x14ac:dyDescent="0.25">
      <c r="C89" s="5"/>
      <c r="D89" s="5"/>
      <c r="E89" s="16"/>
      <c r="F89" s="16"/>
      <c r="G89" s="41"/>
      <c r="H89" s="51"/>
      <c r="I89" s="41"/>
      <c r="J89" s="17"/>
    </row>
    <row r="90" spans="3:14" x14ac:dyDescent="0.25">
      <c r="C90" s="21" t="s">
        <v>74</v>
      </c>
      <c r="D90" s="21"/>
      <c r="E90" s="16"/>
      <c r="F90" s="16"/>
      <c r="G90" s="41"/>
      <c r="H90" s="51"/>
      <c r="I90" s="41"/>
      <c r="J90" s="17"/>
    </row>
    <row r="91" spans="3:14" x14ac:dyDescent="0.25">
      <c r="C91" s="5" t="s">
        <v>75</v>
      </c>
      <c r="D91" s="5"/>
      <c r="E91" s="16">
        <v>26</v>
      </c>
      <c r="F91" s="16"/>
      <c r="G91" s="23">
        <v>221650364</v>
      </c>
      <c r="H91" s="51"/>
      <c r="I91" s="23">
        <f>ROUND(165181927,0)</f>
        <v>165181927</v>
      </c>
      <c r="J91" s="17"/>
      <c r="N91" s="23"/>
    </row>
    <row r="92" spans="3:14" x14ac:dyDescent="0.25">
      <c r="C92" s="5" t="s">
        <v>76</v>
      </c>
      <c r="D92" s="5"/>
      <c r="E92" s="16">
        <v>27</v>
      </c>
      <c r="F92" s="16"/>
      <c r="G92" s="23">
        <v>49784988</v>
      </c>
      <c r="H92" s="51"/>
      <c r="I92" s="23">
        <f>ROUND(42029889,0)</f>
        <v>42029889</v>
      </c>
      <c r="J92" s="17"/>
      <c r="N92" s="23"/>
    </row>
    <row r="93" spans="3:14" ht="23.4" customHeight="1" x14ac:dyDescent="0.25">
      <c r="C93" s="59" t="s">
        <v>77</v>
      </c>
      <c r="D93" s="5"/>
      <c r="E93" s="16"/>
      <c r="F93" s="16"/>
      <c r="G93" s="23">
        <v>863071</v>
      </c>
      <c r="H93" s="51"/>
      <c r="I93" s="23">
        <f>ROUND(847831,0)</f>
        <v>847831</v>
      </c>
      <c r="J93" s="17"/>
    </row>
    <row r="94" spans="3:14" x14ac:dyDescent="0.25">
      <c r="C94" s="5" t="s">
        <v>78</v>
      </c>
      <c r="D94" s="5"/>
      <c r="E94" s="16"/>
      <c r="F94" s="16"/>
      <c r="G94" s="23">
        <v>376161</v>
      </c>
      <c r="H94" s="51"/>
      <c r="I94" s="23">
        <f>ROUND(430993,0)</f>
        <v>430993</v>
      </c>
      <c r="J94" s="17"/>
      <c r="N94" s="23"/>
    </row>
    <row r="95" spans="3:14" x14ac:dyDescent="0.25">
      <c r="C95" s="5" t="s">
        <v>79</v>
      </c>
      <c r="D95" s="5"/>
      <c r="E95" s="16"/>
      <c r="F95" s="16"/>
      <c r="G95" s="23">
        <v>2092</v>
      </c>
      <c r="H95" s="51"/>
      <c r="I95" s="23">
        <f>ROUND(2092,0)</f>
        <v>2092</v>
      </c>
      <c r="J95" s="17"/>
    </row>
    <row r="96" spans="3:14" x14ac:dyDescent="0.25">
      <c r="C96" s="5" t="s">
        <v>80</v>
      </c>
      <c r="D96" s="5"/>
      <c r="E96" s="16"/>
      <c r="F96" s="16"/>
      <c r="G96" s="23">
        <v>13843623</v>
      </c>
      <c r="H96" s="51"/>
      <c r="I96" s="23">
        <f>ROUND(13775770,0)</f>
        <v>13775770</v>
      </c>
      <c r="J96" s="17"/>
    </row>
    <row r="97" spans="3:14" x14ac:dyDescent="0.25">
      <c r="C97" s="5" t="s">
        <v>81</v>
      </c>
      <c r="D97" s="5"/>
      <c r="E97" s="16"/>
      <c r="F97" s="16"/>
      <c r="G97" s="23">
        <v>14191061</v>
      </c>
      <c r="H97" s="51"/>
      <c r="I97" s="23">
        <f>ROUND(14058624,0)</f>
        <v>14058624</v>
      </c>
      <c r="J97" s="17"/>
    </row>
    <row r="98" spans="3:14" x14ac:dyDescent="0.25">
      <c r="C98" s="5" t="s">
        <v>82</v>
      </c>
      <c r="D98" s="5"/>
      <c r="E98" s="16"/>
      <c r="F98" s="16"/>
      <c r="G98" s="23">
        <v>370153</v>
      </c>
      <c r="H98" s="51"/>
      <c r="I98" s="23">
        <f>ROUND(416935,0)</f>
        <v>416935</v>
      </c>
      <c r="J98" s="17"/>
    </row>
    <row r="99" spans="3:14" x14ac:dyDescent="0.25">
      <c r="C99" s="5" t="s">
        <v>83</v>
      </c>
      <c r="D99" s="5"/>
      <c r="E99" s="16">
        <v>28</v>
      </c>
      <c r="F99" s="16"/>
      <c r="G99" s="23">
        <v>704520</v>
      </c>
      <c r="H99" s="51"/>
      <c r="I99" s="23">
        <f>ROUND(662925,0)</f>
        <v>662925</v>
      </c>
      <c r="J99" s="17"/>
      <c r="N99" s="23"/>
    </row>
    <row r="100" spans="3:14" x14ac:dyDescent="0.25">
      <c r="C100" s="5" t="s">
        <v>84</v>
      </c>
      <c r="D100" s="18"/>
      <c r="E100" s="19">
        <v>29</v>
      </c>
      <c r="F100" s="19"/>
      <c r="G100" s="23">
        <v>5906584</v>
      </c>
      <c r="H100" s="57"/>
      <c r="I100" s="23">
        <f>ROUND(5906584,0)</f>
        <v>5906584</v>
      </c>
      <c r="J100" s="17"/>
      <c r="N100" s="23"/>
    </row>
    <row r="101" spans="3:14" x14ac:dyDescent="0.25">
      <c r="C101" s="44"/>
      <c r="D101" s="44"/>
      <c r="E101" s="58"/>
      <c r="F101" s="58"/>
      <c r="G101" s="46">
        <f>SUM(G91:G100)</f>
        <v>307692617</v>
      </c>
      <c r="H101" s="47"/>
      <c r="I101" s="46">
        <f>SUM(I91:I100)</f>
        <v>243313570</v>
      </c>
      <c r="J101" s="17"/>
    </row>
    <row r="102" spans="3:14" x14ac:dyDescent="0.25">
      <c r="C102" s="5"/>
      <c r="D102" s="5"/>
      <c r="E102" s="16"/>
      <c r="F102" s="16"/>
      <c r="G102" s="41"/>
      <c r="H102" s="51"/>
      <c r="I102" s="41"/>
      <c r="J102" s="17"/>
    </row>
    <row r="103" spans="3:14" x14ac:dyDescent="0.25">
      <c r="C103" s="60" t="s">
        <v>85</v>
      </c>
      <c r="D103" s="60"/>
      <c r="E103" s="16"/>
      <c r="F103" s="16"/>
      <c r="G103" s="41"/>
      <c r="H103" s="51"/>
      <c r="I103" s="41"/>
      <c r="J103" s="17"/>
    </row>
    <row r="104" spans="3:14" x14ac:dyDescent="0.25">
      <c r="C104" s="61" t="s">
        <v>86</v>
      </c>
      <c r="D104" s="61"/>
      <c r="E104" s="16">
        <v>26</v>
      </c>
      <c r="F104" s="16"/>
      <c r="G104" s="23">
        <v>3423445</v>
      </c>
      <c r="H104" s="51"/>
      <c r="I104" s="23">
        <f>ROUND(2710428,0)</f>
        <v>2710428</v>
      </c>
      <c r="J104" s="17"/>
      <c r="N104" s="23"/>
    </row>
    <row r="105" spans="3:14" x14ac:dyDescent="0.25">
      <c r="C105" s="61" t="s">
        <v>87</v>
      </c>
      <c r="D105" s="61"/>
      <c r="E105" s="16"/>
      <c r="F105" s="16"/>
      <c r="G105" s="23">
        <v>614098</v>
      </c>
      <c r="H105" s="51"/>
      <c r="I105" s="23">
        <f>ROUND(624945,0)</f>
        <v>624945</v>
      </c>
      <c r="J105" s="17"/>
    </row>
    <row r="106" spans="3:14" x14ac:dyDescent="0.25">
      <c r="C106" s="61" t="s">
        <v>88</v>
      </c>
      <c r="D106" s="61"/>
      <c r="E106" s="16">
        <v>30</v>
      </c>
      <c r="F106" s="16"/>
      <c r="G106" s="23">
        <v>38882034</v>
      </c>
      <c r="H106" s="51"/>
      <c r="I106" s="23">
        <f>ROUND(37877500,0)</f>
        <v>37877500</v>
      </c>
      <c r="J106" s="17"/>
      <c r="N106" s="23"/>
    </row>
    <row r="107" spans="3:14" x14ac:dyDescent="0.25">
      <c r="C107" s="61" t="s">
        <v>89</v>
      </c>
      <c r="D107" s="61"/>
      <c r="E107" s="16"/>
      <c r="F107" s="16"/>
      <c r="G107" s="23">
        <v>370117</v>
      </c>
      <c r="H107" s="51"/>
      <c r="I107" s="23">
        <f>ROUND(314251,0)</f>
        <v>314251</v>
      </c>
      <c r="J107" s="17"/>
    </row>
    <row r="108" spans="3:14" x14ac:dyDescent="0.25">
      <c r="C108" s="61" t="s">
        <v>90</v>
      </c>
      <c r="D108" s="61"/>
      <c r="E108" s="16">
        <v>23</v>
      </c>
      <c r="F108" s="16"/>
      <c r="G108" s="23">
        <v>9108790</v>
      </c>
      <c r="H108" s="51"/>
      <c r="I108" s="23">
        <f>ROUND(7698218,0)</f>
        <v>7698218</v>
      </c>
      <c r="J108" s="17"/>
      <c r="N108" s="23"/>
    </row>
    <row r="109" spans="3:14" x14ac:dyDescent="0.25">
      <c r="C109" s="61" t="s">
        <v>91</v>
      </c>
      <c r="D109" s="61"/>
      <c r="E109" s="16"/>
      <c r="F109" s="16"/>
      <c r="G109" s="23">
        <v>2210395</v>
      </c>
      <c r="H109" s="51"/>
      <c r="I109" s="23">
        <f>ROUND(1972324,0)</f>
        <v>1972324</v>
      </c>
      <c r="J109" s="17"/>
    </row>
    <row r="110" spans="3:14" ht="26.4" x14ac:dyDescent="0.25">
      <c r="C110" s="59" t="s">
        <v>77</v>
      </c>
      <c r="D110" s="61"/>
      <c r="E110" s="16"/>
      <c r="F110" s="16"/>
      <c r="G110" s="23">
        <v>74266</v>
      </c>
      <c r="H110" s="51"/>
      <c r="I110" s="23">
        <f>ROUND(77710,0)</f>
        <v>77710</v>
      </c>
      <c r="J110" s="17"/>
    </row>
    <row r="111" spans="3:14" x14ac:dyDescent="0.25">
      <c r="C111" s="61" t="s">
        <v>92</v>
      </c>
      <c r="D111" s="61"/>
      <c r="E111" s="16">
        <v>31</v>
      </c>
      <c r="F111" s="16"/>
      <c r="G111" s="23">
        <v>4368109</v>
      </c>
      <c r="H111" s="51"/>
      <c r="I111" s="23">
        <f>ROUND(2784312,0)</f>
        <v>2784312</v>
      </c>
      <c r="J111" s="17"/>
    </row>
    <row r="112" spans="3:14" x14ac:dyDescent="0.25">
      <c r="C112" s="61" t="s">
        <v>93</v>
      </c>
      <c r="D112" s="62"/>
      <c r="E112" s="19">
        <v>29</v>
      </c>
      <c r="F112" s="19"/>
      <c r="G112" s="23">
        <v>909794</v>
      </c>
      <c r="H112" s="57"/>
      <c r="I112" s="23">
        <f>ROUND(1912091,0)</f>
        <v>1912091</v>
      </c>
      <c r="J112" s="17"/>
      <c r="N112" s="23"/>
    </row>
    <row r="113" spans="2:27" x14ac:dyDescent="0.25">
      <c r="C113" s="63"/>
      <c r="D113" s="63"/>
      <c r="E113" s="64"/>
      <c r="F113" s="64"/>
      <c r="G113" s="46">
        <f>SUM(G104:H112)</f>
        <v>59961048</v>
      </c>
      <c r="H113" s="65"/>
      <c r="I113" s="46">
        <f>SUM(I104:I112)</f>
        <v>55971779</v>
      </c>
      <c r="J113" s="17"/>
    </row>
    <row r="114" spans="2:27" x14ac:dyDescent="0.25">
      <c r="C114" s="63" t="s">
        <v>94</v>
      </c>
      <c r="D114" s="66"/>
      <c r="E114" s="64"/>
      <c r="F114" s="64"/>
      <c r="G114" s="46">
        <f>G113+G101</f>
        <v>367653665</v>
      </c>
      <c r="H114" s="65"/>
      <c r="I114" s="46">
        <f>I113+I101</f>
        <v>299285349</v>
      </c>
      <c r="J114" s="17"/>
    </row>
    <row r="115" spans="2:27" ht="13.8" thickBot="1" x14ac:dyDescent="0.3">
      <c r="C115" s="67" t="s">
        <v>95</v>
      </c>
      <c r="D115" s="67"/>
      <c r="E115" s="68"/>
      <c r="F115" s="68"/>
      <c r="G115" s="54">
        <f>G113+G101+G88</f>
        <v>449904509</v>
      </c>
      <c r="H115" s="69"/>
      <c r="I115" s="54">
        <f>I113+I101+I88</f>
        <v>396725518</v>
      </c>
      <c r="J115" s="17"/>
    </row>
    <row r="117" spans="2:27" x14ac:dyDescent="0.25">
      <c r="C117" s="70" t="s">
        <v>96</v>
      </c>
      <c r="D117" s="70"/>
      <c r="E117" s="71">
        <v>25</v>
      </c>
      <c r="F117" s="72"/>
      <c r="G117" s="73">
        <v>2348</v>
      </c>
      <c r="H117" s="72"/>
      <c r="I117" s="73">
        <v>3706</v>
      </c>
      <c r="J117" s="74"/>
    </row>
    <row r="118" spans="2:27" ht="13.8" thickBot="1" x14ac:dyDescent="0.3">
      <c r="C118" s="75" t="s">
        <v>97</v>
      </c>
      <c r="D118" s="75"/>
      <c r="E118" s="76">
        <f>E117</f>
        <v>25</v>
      </c>
      <c r="F118" s="77"/>
      <c r="G118" s="77">
        <v>5000</v>
      </c>
      <c r="H118" s="78"/>
      <c r="I118" s="77">
        <v>5000</v>
      </c>
      <c r="J118" s="74"/>
    </row>
    <row r="119" spans="2:27" ht="13.8" thickTop="1" x14ac:dyDescent="0.25"/>
    <row r="120" spans="2:27" x14ac:dyDescent="0.25">
      <c r="G120" s="23">
        <f>G115-G74</f>
        <v>0</v>
      </c>
      <c r="H120" s="23"/>
      <c r="I120" s="23">
        <f>I115-I74</f>
        <v>0</v>
      </c>
      <c r="J120" s="23"/>
    </row>
    <row r="121" spans="2:27" x14ac:dyDescent="0.25">
      <c r="B121" s="9"/>
      <c r="K121" s="23"/>
    </row>
    <row r="122" spans="2:27" ht="15" customHeight="1" x14ac:dyDescent="0.25">
      <c r="B122" s="9"/>
      <c r="C122" s="79"/>
      <c r="D122" s="79"/>
      <c r="E122" s="21"/>
      <c r="F122" s="21"/>
      <c r="G122" s="80" t="s">
        <v>98</v>
      </c>
      <c r="H122" s="80"/>
      <c r="I122" s="80"/>
      <c r="J122" s="80"/>
      <c r="K122" s="80"/>
      <c r="L122" s="80"/>
      <c r="M122" s="80"/>
      <c r="N122" s="81"/>
    </row>
    <row r="123" spans="2:27" ht="52.8" x14ac:dyDescent="0.25">
      <c r="C123" s="35" t="s">
        <v>9</v>
      </c>
      <c r="D123" s="35"/>
      <c r="E123" s="82"/>
      <c r="F123" s="82"/>
      <c r="G123" s="37" t="s">
        <v>68</v>
      </c>
      <c r="H123" s="37"/>
      <c r="I123" s="37" t="s">
        <v>99</v>
      </c>
      <c r="J123" s="37"/>
      <c r="K123" s="37" t="s">
        <v>100</v>
      </c>
      <c r="L123" s="37"/>
      <c r="M123" s="37" t="s">
        <v>101</v>
      </c>
      <c r="N123" s="37"/>
      <c r="O123" s="37" t="s">
        <v>102</v>
      </c>
      <c r="P123" s="83"/>
      <c r="Q123" s="37" t="s">
        <v>103</v>
      </c>
      <c r="R123" s="37"/>
      <c r="S123" s="37" t="s">
        <v>104</v>
      </c>
    </row>
    <row r="124" spans="2:27" x14ac:dyDescent="0.25">
      <c r="C124" s="130" t="s">
        <v>105</v>
      </c>
      <c r="D124" s="130"/>
      <c r="E124" s="49"/>
      <c r="F124" s="49"/>
      <c r="G124" s="20">
        <v>27114488</v>
      </c>
      <c r="H124" s="20"/>
      <c r="I124" s="20">
        <v>5770063</v>
      </c>
      <c r="J124" s="20"/>
      <c r="K124" s="20">
        <v>-24150</v>
      </c>
      <c r="L124" s="20"/>
      <c r="M124" s="20">
        <v>-5322002</v>
      </c>
      <c r="N124" s="20"/>
      <c r="O124" s="20">
        <f>SUM(G124:N124)</f>
        <v>27538399</v>
      </c>
      <c r="P124" s="20"/>
      <c r="Q124" s="20">
        <v>-4027</v>
      </c>
      <c r="R124" s="20"/>
      <c r="S124" s="20">
        <f>O124+Q124</f>
        <v>27534372</v>
      </c>
      <c r="T124" s="86"/>
      <c r="U124" s="86"/>
      <c r="V124" s="86"/>
      <c r="W124" s="86"/>
      <c r="X124" s="86"/>
      <c r="Y124" s="86"/>
      <c r="Z124" s="86"/>
      <c r="AA124" s="86"/>
    </row>
    <row r="125" spans="2:27" x14ac:dyDescent="0.25">
      <c r="C125" s="21"/>
      <c r="D125" s="21"/>
      <c r="E125" s="23"/>
      <c r="F125" s="23"/>
      <c r="G125" s="4"/>
      <c r="H125" s="4"/>
      <c r="I125" s="4"/>
      <c r="J125" s="4"/>
      <c r="K125" s="4"/>
      <c r="L125" s="4"/>
      <c r="N125" s="4"/>
      <c r="O125" s="4">
        <f t="shared" ref="O125:O135" si="0">SUM(G125:N125)</f>
        <v>0</v>
      </c>
      <c r="P125" s="4"/>
      <c r="Q125" s="4"/>
      <c r="R125" s="4"/>
      <c r="S125" s="4">
        <f t="shared" ref="S125:S135" si="1">O125+Q125</f>
        <v>0</v>
      </c>
      <c r="T125" s="86"/>
      <c r="U125" s="86"/>
      <c r="V125" s="86"/>
      <c r="W125" s="86"/>
      <c r="X125" s="86"/>
      <c r="Y125" s="86"/>
      <c r="Z125" s="86"/>
      <c r="AA125" s="86"/>
    </row>
    <row r="126" spans="2:27" x14ac:dyDescent="0.25">
      <c r="C126" s="88" t="s">
        <v>106</v>
      </c>
      <c r="D126" s="88"/>
      <c r="E126" s="49"/>
      <c r="F126" s="49"/>
      <c r="G126" s="49">
        <v>0</v>
      </c>
      <c r="H126" s="49"/>
      <c r="I126" s="49">
        <v>0</v>
      </c>
      <c r="J126" s="49"/>
      <c r="K126" s="49"/>
      <c r="L126" s="49"/>
      <c r="M126" s="49">
        <v>5664330</v>
      </c>
      <c r="N126" s="49"/>
      <c r="O126" s="49">
        <f t="shared" si="0"/>
        <v>5664330</v>
      </c>
      <c r="P126" s="49"/>
      <c r="Q126" s="49">
        <v>-21</v>
      </c>
      <c r="R126" s="49"/>
      <c r="S126" s="49">
        <f t="shared" si="1"/>
        <v>5664309</v>
      </c>
      <c r="T126" s="86"/>
      <c r="U126" s="86"/>
      <c r="V126" s="86"/>
      <c r="W126" s="86"/>
      <c r="X126" s="86"/>
      <c r="Y126" s="86"/>
      <c r="Z126" s="86"/>
      <c r="AA126" s="86"/>
    </row>
    <row r="127" spans="2:27" x14ac:dyDescent="0.25">
      <c r="C127" s="44" t="s">
        <v>107</v>
      </c>
      <c r="D127" s="44"/>
      <c r="E127" s="84"/>
      <c r="F127" s="84"/>
      <c r="G127" s="85">
        <f>SUM(G126)</f>
        <v>0</v>
      </c>
      <c r="H127" s="85"/>
      <c r="I127" s="85">
        <f>SUM(I126)</f>
        <v>0</v>
      </c>
      <c r="J127" s="85"/>
      <c r="K127" s="85"/>
      <c r="L127" s="85"/>
      <c r="M127" s="85">
        <f>M126</f>
        <v>5664330</v>
      </c>
      <c r="N127" s="85"/>
      <c r="O127" s="85">
        <f t="shared" si="0"/>
        <v>5664330</v>
      </c>
      <c r="P127" s="85"/>
      <c r="Q127" s="85">
        <f>Q126</f>
        <v>-21</v>
      </c>
      <c r="R127" s="85"/>
      <c r="S127" s="85">
        <f t="shared" si="1"/>
        <v>5664309</v>
      </c>
      <c r="T127" s="86"/>
      <c r="U127" s="86"/>
      <c r="V127" s="86"/>
      <c r="W127" s="86"/>
      <c r="X127" s="86"/>
      <c r="Y127" s="86"/>
      <c r="Z127" s="86"/>
      <c r="AA127" s="86"/>
    </row>
    <row r="128" spans="2:27" x14ac:dyDescent="0.25">
      <c r="C128" s="44" t="s">
        <v>108</v>
      </c>
      <c r="D128" s="44"/>
      <c r="E128" s="84"/>
      <c r="F128" s="84"/>
      <c r="G128" s="85">
        <v>27114488</v>
      </c>
      <c r="H128" s="85"/>
      <c r="I128" s="85">
        <v>5770063</v>
      </c>
      <c r="J128" s="85"/>
      <c r="K128" s="85">
        <f>K124</f>
        <v>-24150</v>
      </c>
      <c r="L128" s="85"/>
      <c r="M128" s="85">
        <f>M124+M127</f>
        <v>342328</v>
      </c>
      <c r="N128" s="85"/>
      <c r="O128" s="85">
        <f t="shared" si="0"/>
        <v>33202729</v>
      </c>
      <c r="P128" s="85"/>
      <c r="Q128" s="85">
        <f>Q124+Q127</f>
        <v>-4048</v>
      </c>
      <c r="R128" s="85"/>
      <c r="S128" s="85">
        <f t="shared" si="1"/>
        <v>33198681</v>
      </c>
      <c r="T128" s="86"/>
      <c r="U128" s="86"/>
      <c r="V128" s="86"/>
      <c r="W128" s="86"/>
      <c r="X128" s="86"/>
      <c r="Y128" s="86"/>
      <c r="Z128" s="86"/>
      <c r="AA128" s="86"/>
    </row>
    <row r="129" spans="3:27" x14ac:dyDescent="0.25">
      <c r="C129" s="21"/>
      <c r="D129" s="21"/>
      <c r="E129" s="23"/>
      <c r="F129" s="23"/>
      <c r="G129" s="4"/>
      <c r="H129" s="4"/>
      <c r="I129" s="4"/>
      <c r="J129" s="4"/>
      <c r="K129" s="4"/>
      <c r="L129" s="4"/>
      <c r="N129" s="4"/>
      <c r="O129" s="4">
        <f t="shared" si="0"/>
        <v>0</v>
      </c>
      <c r="P129" s="4"/>
      <c r="Q129" s="4"/>
      <c r="R129" s="4"/>
      <c r="S129" s="4">
        <f t="shared" si="1"/>
        <v>0</v>
      </c>
      <c r="T129" s="86"/>
      <c r="U129" s="86"/>
      <c r="V129" s="86"/>
      <c r="W129" s="86"/>
      <c r="X129" s="86"/>
      <c r="Y129" s="86"/>
      <c r="Z129" s="86"/>
      <c r="AA129" s="86"/>
    </row>
    <row r="130" spans="3:27" x14ac:dyDescent="0.25">
      <c r="C130" s="21"/>
      <c r="D130" s="21"/>
      <c r="E130" s="23"/>
      <c r="F130" s="23"/>
      <c r="G130" s="17"/>
      <c r="H130" s="17"/>
      <c r="I130" s="17"/>
      <c r="J130" s="17"/>
      <c r="K130" s="17"/>
      <c r="L130" s="17"/>
      <c r="M130" s="17"/>
      <c r="N130" s="17"/>
      <c r="O130" s="17">
        <f t="shared" si="0"/>
        <v>0</v>
      </c>
      <c r="P130" s="17"/>
      <c r="Q130" s="17"/>
      <c r="R130" s="17"/>
      <c r="S130" s="17">
        <f t="shared" si="1"/>
        <v>0</v>
      </c>
      <c r="T130" s="86"/>
      <c r="U130" s="86"/>
      <c r="V130" s="86"/>
      <c r="W130" s="86"/>
      <c r="X130" s="86"/>
      <c r="Y130" s="86"/>
      <c r="Z130" s="86"/>
      <c r="AA130" s="86"/>
    </row>
    <row r="131" spans="3:27" ht="13.8" thickBot="1" x14ac:dyDescent="0.3">
      <c r="C131" s="52" t="s">
        <v>109</v>
      </c>
      <c r="D131" s="52"/>
      <c r="E131" s="52"/>
      <c r="F131" s="52"/>
      <c r="G131" s="87">
        <v>27114488</v>
      </c>
      <c r="H131" s="26"/>
      <c r="I131" s="87">
        <v>5656940</v>
      </c>
      <c r="J131" s="26"/>
      <c r="K131" s="87">
        <v>-24150</v>
      </c>
      <c r="L131" s="87"/>
      <c r="M131" s="87">
        <v>26935103</v>
      </c>
      <c r="N131" s="87"/>
      <c r="O131" s="87">
        <f t="shared" si="0"/>
        <v>59682381</v>
      </c>
      <c r="P131" s="87"/>
      <c r="Q131" s="87">
        <v>37757788</v>
      </c>
      <c r="R131" s="87"/>
      <c r="S131" s="87">
        <f t="shared" si="1"/>
        <v>97440169</v>
      </c>
      <c r="T131" s="86"/>
      <c r="U131" s="86"/>
      <c r="V131" s="86"/>
      <c r="W131" s="86"/>
      <c r="X131" s="86"/>
      <c r="Y131" s="86"/>
      <c r="Z131" s="86"/>
      <c r="AA131" s="86"/>
    </row>
    <row r="132" spans="3:27" x14ac:dyDescent="0.25">
      <c r="C132" s="21"/>
      <c r="D132" s="21"/>
      <c r="E132" s="21"/>
      <c r="F132" s="21"/>
      <c r="G132" s="17"/>
      <c r="H132" s="17"/>
      <c r="I132" s="17"/>
      <c r="J132" s="17"/>
      <c r="K132" s="17"/>
      <c r="L132" s="17"/>
      <c r="M132" s="17"/>
      <c r="N132" s="17"/>
      <c r="O132" s="17">
        <f t="shared" si="0"/>
        <v>0</v>
      </c>
      <c r="P132" s="17"/>
      <c r="Q132" s="17"/>
      <c r="R132" s="17"/>
      <c r="S132" s="17">
        <f t="shared" si="1"/>
        <v>0</v>
      </c>
      <c r="T132" s="86"/>
      <c r="U132" s="86"/>
      <c r="V132" s="86"/>
      <c r="W132" s="86"/>
      <c r="X132" s="86"/>
      <c r="Y132" s="86"/>
      <c r="Z132" s="86"/>
      <c r="AA132" s="86"/>
    </row>
    <row r="133" spans="3:27" x14ac:dyDescent="0.25">
      <c r="C133" s="88" t="s">
        <v>110</v>
      </c>
      <c r="D133" s="88"/>
      <c r="E133" s="49"/>
      <c r="F133" s="49"/>
      <c r="G133" s="89">
        <v>0</v>
      </c>
      <c r="H133" s="89"/>
      <c r="I133" s="89">
        <v>0</v>
      </c>
      <c r="J133" s="89"/>
      <c r="K133" s="89"/>
      <c r="L133" s="89"/>
      <c r="M133" s="89">
        <v>-12125264</v>
      </c>
      <c r="N133" s="89"/>
      <c r="O133" s="89">
        <f t="shared" si="0"/>
        <v>-12125264</v>
      </c>
      <c r="P133" s="89"/>
      <c r="Q133" s="89">
        <v>-3064061</v>
      </c>
      <c r="R133" s="89"/>
      <c r="S133" s="89">
        <f t="shared" si="1"/>
        <v>-15189325</v>
      </c>
      <c r="T133" s="86"/>
      <c r="U133" s="86"/>
      <c r="V133" s="86"/>
      <c r="W133" s="86"/>
      <c r="X133" s="86"/>
      <c r="Y133" s="86"/>
      <c r="Z133" s="86"/>
      <c r="AA133" s="86"/>
    </row>
    <row r="134" spans="3:27" x14ac:dyDescent="0.25">
      <c r="C134" s="44" t="s">
        <v>111</v>
      </c>
      <c r="D134" s="44"/>
      <c r="E134" s="84"/>
      <c r="F134" s="84"/>
      <c r="G134" s="90">
        <f>SUM(G133)</f>
        <v>0</v>
      </c>
      <c r="H134" s="90"/>
      <c r="I134" s="90">
        <f>SUM(I133)</f>
        <v>0</v>
      </c>
      <c r="J134" s="90"/>
      <c r="K134" s="90"/>
      <c r="L134" s="90"/>
      <c r="M134" s="90">
        <f>M133</f>
        <v>-12125264</v>
      </c>
      <c r="N134" s="90"/>
      <c r="O134" s="90">
        <f t="shared" si="0"/>
        <v>-12125264</v>
      </c>
      <c r="P134" s="90"/>
      <c r="Q134" s="90">
        <f>Q133</f>
        <v>-3064061</v>
      </c>
      <c r="R134" s="90"/>
      <c r="S134" s="90">
        <f t="shared" si="1"/>
        <v>-15189325</v>
      </c>
      <c r="T134" s="91"/>
      <c r="U134" s="91"/>
      <c r="V134" s="91"/>
      <c r="W134" s="91"/>
      <c r="X134" s="91"/>
      <c r="Y134" s="91"/>
      <c r="Z134" s="91"/>
      <c r="AA134" s="91"/>
    </row>
    <row r="135" spans="3:27" ht="13.8" thickBot="1" x14ac:dyDescent="0.3">
      <c r="C135" s="52" t="s">
        <v>112</v>
      </c>
      <c r="D135" s="52"/>
      <c r="E135" s="52"/>
      <c r="F135" s="52"/>
      <c r="G135" s="26">
        <f>G131+G134</f>
        <v>27114488</v>
      </c>
      <c r="H135" s="26"/>
      <c r="I135" s="26">
        <f>I131+I134</f>
        <v>5656940</v>
      </c>
      <c r="J135" s="26"/>
      <c r="K135" s="26">
        <v>-24150</v>
      </c>
      <c r="L135" s="26"/>
      <c r="M135" s="26">
        <f>M131+M134</f>
        <v>14809839</v>
      </c>
      <c r="N135" s="26"/>
      <c r="O135" s="26">
        <f t="shared" si="0"/>
        <v>47557117</v>
      </c>
      <c r="P135" s="26"/>
      <c r="Q135" s="26">
        <f>Q131+Q134</f>
        <v>34693727</v>
      </c>
      <c r="R135" s="26"/>
      <c r="S135" s="26">
        <f t="shared" si="1"/>
        <v>82250844</v>
      </c>
      <c r="T135" s="91"/>
      <c r="U135" s="91"/>
      <c r="V135" s="91"/>
      <c r="W135" s="91"/>
      <c r="X135" s="91"/>
      <c r="Y135" s="91"/>
      <c r="Z135" s="91"/>
      <c r="AA135" s="91"/>
    </row>
    <row r="136" spans="3:27" x14ac:dyDescent="0.25">
      <c r="C136" s="21"/>
      <c r="D136" s="21"/>
      <c r="E136" s="21"/>
      <c r="F136" s="21"/>
      <c r="G136" s="17"/>
      <c r="H136" s="17"/>
      <c r="I136" s="17"/>
      <c r="J136" s="17"/>
      <c r="L136" s="131"/>
      <c r="M136" s="132"/>
      <c r="N136" s="132"/>
      <c r="O136" s="132"/>
      <c r="P136" s="132"/>
      <c r="Q136" s="132"/>
      <c r="R136" s="132"/>
      <c r="S136" s="132"/>
      <c r="T136" s="91"/>
      <c r="U136" s="91"/>
      <c r="V136" s="91"/>
      <c r="W136" s="91"/>
      <c r="X136" s="91"/>
      <c r="Y136" s="91"/>
      <c r="Z136" s="91"/>
      <c r="AA136" s="91"/>
    </row>
    <row r="137" spans="3:27" x14ac:dyDescent="0.25">
      <c r="C137" s="21"/>
      <c r="D137" s="21"/>
      <c r="E137" s="23"/>
      <c r="F137" s="23"/>
      <c r="G137" s="32">
        <f>G81-G135</f>
        <v>0</v>
      </c>
      <c r="H137" s="32"/>
      <c r="I137" s="32">
        <f>G82-I135</f>
        <v>0</v>
      </c>
      <c r="J137" s="32"/>
      <c r="L137" s="131"/>
      <c r="M137" s="132"/>
      <c r="N137" s="132"/>
      <c r="O137" s="132"/>
      <c r="P137" s="132"/>
      <c r="Q137" s="132"/>
      <c r="R137" s="132"/>
      <c r="S137" s="133">
        <f>G88-S135</f>
        <v>0</v>
      </c>
      <c r="T137" s="91"/>
      <c r="U137" s="91"/>
      <c r="V137" s="91"/>
      <c r="W137" s="91"/>
      <c r="X137" s="91"/>
      <c r="Y137" s="91"/>
      <c r="Z137" s="91"/>
      <c r="AA137" s="91"/>
    </row>
    <row r="138" spans="3:27" x14ac:dyDescent="0.25">
      <c r="C138" s="21"/>
      <c r="D138" s="21"/>
      <c r="E138" s="21"/>
      <c r="F138" s="21"/>
      <c r="G138" s="17"/>
      <c r="H138" s="17"/>
      <c r="I138" s="17"/>
      <c r="J138" s="17"/>
    </row>
    <row r="139" spans="3:27" x14ac:dyDescent="0.25">
      <c r="C139" s="21"/>
      <c r="D139" s="21"/>
      <c r="E139" s="23"/>
      <c r="F139" s="23"/>
      <c r="G139" s="32">
        <f>G81-G131</f>
        <v>0</v>
      </c>
      <c r="H139" s="32"/>
      <c r="I139" s="32">
        <f>G82-I131</f>
        <v>0</v>
      </c>
      <c r="J139" s="32"/>
    </row>
    <row r="140" spans="3:27" x14ac:dyDescent="0.25">
      <c r="C140" s="21"/>
      <c r="D140" s="21"/>
      <c r="E140" s="23"/>
      <c r="F140" s="23"/>
      <c r="G140" s="92"/>
      <c r="H140" s="92"/>
      <c r="I140" s="92"/>
      <c r="J140" s="92"/>
    </row>
    <row r="141" spans="3:27" ht="13.2" customHeight="1" x14ac:dyDescent="0.25">
      <c r="G141" s="93"/>
      <c r="H141" s="93"/>
      <c r="I141" s="93"/>
      <c r="J141" s="92"/>
    </row>
    <row r="142" spans="3:27" ht="27" customHeight="1" x14ac:dyDescent="0.25">
      <c r="G142" s="94" t="s">
        <v>113</v>
      </c>
      <c r="H142" s="94"/>
      <c r="I142" s="94"/>
    </row>
    <row r="143" spans="3:27" ht="13.8" thickBot="1" x14ac:dyDescent="0.3">
      <c r="C143" s="95" t="s">
        <v>9</v>
      </c>
      <c r="D143" s="95"/>
      <c r="E143" s="96" t="s">
        <v>10</v>
      </c>
      <c r="F143" s="96"/>
      <c r="G143" s="97" t="s">
        <v>11</v>
      </c>
      <c r="H143" s="98"/>
      <c r="I143" s="97" t="s">
        <v>12</v>
      </c>
    </row>
    <row r="144" spans="3:27" x14ac:dyDescent="0.25">
      <c r="C144" s="61"/>
      <c r="D144" s="61"/>
      <c r="E144" s="81"/>
      <c r="F144" s="81"/>
      <c r="G144" s="81"/>
      <c r="H144" s="81"/>
      <c r="I144" s="60"/>
    </row>
    <row r="145" spans="2:11" x14ac:dyDescent="0.25">
      <c r="B145" s="92"/>
      <c r="C145" s="60" t="s">
        <v>114</v>
      </c>
      <c r="D145" s="60"/>
      <c r="E145" s="81"/>
      <c r="F145" s="81"/>
      <c r="G145" s="99"/>
      <c r="H145" s="100"/>
    </row>
    <row r="146" spans="2:11" x14ac:dyDescent="0.25">
      <c r="B146" s="92"/>
      <c r="C146" s="61" t="str">
        <f>C24</f>
        <v>(Убыток)/прибыль до налогообложения</v>
      </c>
      <c r="D146" s="61"/>
      <c r="E146" s="81"/>
      <c r="F146" s="81"/>
      <c r="G146" s="23">
        <v>-14854602</v>
      </c>
      <c r="H146" s="22"/>
      <c r="I146" s="23">
        <v>5664309</v>
      </c>
      <c r="K146" s="4"/>
    </row>
    <row r="147" spans="2:11" x14ac:dyDescent="0.25">
      <c r="B147" s="92"/>
      <c r="C147" s="61"/>
      <c r="D147" s="61"/>
      <c r="E147" s="81"/>
      <c r="F147" s="81"/>
      <c r="G147" s="100"/>
      <c r="H147" s="99"/>
      <c r="I147" s="23"/>
      <c r="J147" s="32"/>
      <c r="K147" s="4"/>
    </row>
    <row r="148" spans="2:11" x14ac:dyDescent="0.25">
      <c r="B148" s="92"/>
      <c r="C148" s="60" t="s">
        <v>115</v>
      </c>
      <c r="D148" s="60"/>
      <c r="E148" s="81"/>
      <c r="F148" s="81"/>
      <c r="G148" s="100"/>
      <c r="H148" s="99"/>
      <c r="I148" s="23"/>
      <c r="J148" s="32"/>
      <c r="K148" s="4"/>
    </row>
    <row r="149" spans="2:11" x14ac:dyDescent="0.25">
      <c r="B149" s="92"/>
      <c r="C149" s="101" t="s">
        <v>116</v>
      </c>
      <c r="D149" s="101"/>
      <c r="E149" s="102"/>
      <c r="F149" s="102"/>
      <c r="G149" s="23">
        <v>4856866</v>
      </c>
      <c r="H149" s="22"/>
      <c r="I149" s="23">
        <v>1896739</v>
      </c>
      <c r="J149" s="32"/>
      <c r="K149" s="4"/>
    </row>
    <row r="150" spans="2:11" x14ac:dyDescent="0.25">
      <c r="B150" s="92"/>
      <c r="C150" s="5" t="s">
        <v>20</v>
      </c>
      <c r="D150" s="103"/>
      <c r="E150" s="102">
        <f>E17</f>
        <v>11</v>
      </c>
      <c r="F150" s="104"/>
      <c r="G150" s="23">
        <v>119869</v>
      </c>
      <c r="H150" s="22"/>
      <c r="I150" s="22">
        <v>0</v>
      </c>
      <c r="J150" s="23"/>
      <c r="K150" s="4"/>
    </row>
    <row r="151" spans="2:11" x14ac:dyDescent="0.25">
      <c r="B151" s="92"/>
      <c r="C151" s="5" t="s">
        <v>21</v>
      </c>
      <c r="D151" s="103"/>
      <c r="E151" s="102">
        <f>E18</f>
        <v>12</v>
      </c>
      <c r="F151" s="104"/>
      <c r="G151" s="23">
        <v>-70222</v>
      </c>
      <c r="H151" s="22"/>
      <c r="I151" s="23">
        <v>-665</v>
      </c>
      <c r="J151" s="23"/>
      <c r="K151" s="4"/>
    </row>
    <row r="152" spans="2:11" x14ac:dyDescent="0.25">
      <c r="B152" s="92"/>
      <c r="C152" s="101" t="s">
        <v>117</v>
      </c>
      <c r="D152" s="101"/>
      <c r="E152" s="102">
        <f>$E$13</f>
        <v>8</v>
      </c>
      <c r="F152" s="102"/>
      <c r="G152" s="23">
        <v>134601</v>
      </c>
      <c r="H152" s="22"/>
      <c r="I152" s="22">
        <v>0</v>
      </c>
      <c r="J152" s="23"/>
      <c r="K152" s="4"/>
    </row>
    <row r="153" spans="2:11" x14ac:dyDescent="0.25">
      <c r="B153" s="92"/>
      <c r="C153" s="101" t="s">
        <v>118</v>
      </c>
      <c r="D153" s="101"/>
      <c r="E153" s="102">
        <f>$E$13</f>
        <v>8</v>
      </c>
      <c r="F153" s="102"/>
      <c r="G153" s="23">
        <v>122150</v>
      </c>
      <c r="H153" s="22"/>
      <c r="I153" s="22">
        <v>0</v>
      </c>
      <c r="J153" s="23"/>
      <c r="K153" s="4"/>
    </row>
    <row r="154" spans="2:11" x14ac:dyDescent="0.25">
      <c r="B154" s="92"/>
      <c r="C154" s="101" t="s">
        <v>119</v>
      </c>
      <c r="D154" s="101"/>
      <c r="E154" s="102"/>
      <c r="F154" s="102"/>
      <c r="G154" s="23">
        <v>1892</v>
      </c>
      <c r="H154" s="22"/>
      <c r="I154" s="23">
        <v>-14784</v>
      </c>
      <c r="J154" s="23"/>
      <c r="K154" s="4"/>
    </row>
    <row r="155" spans="2:11" x14ac:dyDescent="0.25">
      <c r="B155" s="92"/>
      <c r="C155" s="101" t="s">
        <v>120</v>
      </c>
      <c r="D155" s="101"/>
      <c r="E155" s="102"/>
      <c r="F155" s="102"/>
      <c r="G155" s="23">
        <v>0</v>
      </c>
      <c r="H155" s="22"/>
      <c r="I155" s="23">
        <v>-378</v>
      </c>
      <c r="J155" s="23"/>
      <c r="K155" s="4"/>
    </row>
    <row r="156" spans="2:11" x14ac:dyDescent="0.25">
      <c r="B156" s="92"/>
      <c r="C156" s="101" t="s">
        <v>121</v>
      </c>
      <c r="D156" s="101"/>
      <c r="E156" s="104"/>
      <c r="F156" s="104"/>
      <c r="G156" s="23">
        <v>35896081</v>
      </c>
      <c r="H156" s="22"/>
      <c r="I156" s="23">
        <v>208874</v>
      </c>
      <c r="J156" s="23"/>
      <c r="K156" s="4"/>
    </row>
    <row r="157" spans="2:11" x14ac:dyDescent="0.25">
      <c r="B157" s="92"/>
      <c r="C157" s="101" t="s">
        <v>23</v>
      </c>
      <c r="D157" s="101"/>
      <c r="E157" s="102">
        <f>$E$21</f>
        <v>13</v>
      </c>
      <c r="F157" s="104"/>
      <c r="G157" s="23">
        <v>-123942</v>
      </c>
      <c r="H157" s="22"/>
      <c r="I157" s="23">
        <v>-4340</v>
      </c>
      <c r="J157" s="23"/>
      <c r="K157" s="4"/>
    </row>
    <row r="158" spans="2:11" x14ac:dyDescent="0.25">
      <c r="B158" s="92"/>
      <c r="C158" s="101" t="s">
        <v>24</v>
      </c>
      <c r="D158" s="101"/>
      <c r="E158" s="102">
        <f>$E$21</f>
        <v>13</v>
      </c>
      <c r="F158" s="102"/>
      <c r="G158" s="23">
        <v>2702152</v>
      </c>
      <c r="H158" s="22"/>
      <c r="I158" s="23">
        <v>732217</v>
      </c>
      <c r="J158" s="23"/>
      <c r="K158" s="4"/>
    </row>
    <row r="159" spans="2:11" x14ac:dyDescent="0.25">
      <c r="B159" s="92"/>
      <c r="C159" s="105" t="s">
        <v>122</v>
      </c>
      <c r="D159" s="105"/>
      <c r="E159" s="11"/>
      <c r="F159" s="88"/>
      <c r="G159" s="49">
        <v>236777</v>
      </c>
      <c r="H159" s="88"/>
      <c r="I159" s="89">
        <v>0</v>
      </c>
      <c r="K159" s="4"/>
    </row>
    <row r="160" spans="2:11" ht="26.4" x14ac:dyDescent="0.25">
      <c r="C160" s="106" t="s">
        <v>123</v>
      </c>
      <c r="D160" s="106"/>
      <c r="E160" s="81"/>
      <c r="F160" s="81"/>
      <c r="G160" s="22">
        <f>SUM(G146:G159)</f>
        <v>29021622</v>
      </c>
      <c r="H160" s="22"/>
      <c r="I160" s="22">
        <f>SUM(I146:I158)</f>
        <v>8481972</v>
      </c>
      <c r="J160" s="23"/>
      <c r="K160" s="4"/>
    </row>
    <row r="161" spans="3:11" x14ac:dyDescent="0.25">
      <c r="C161" s="106"/>
      <c r="D161" s="106"/>
      <c r="E161" s="81"/>
      <c r="F161" s="81"/>
      <c r="G161" s="100"/>
      <c r="H161" s="99"/>
      <c r="I161" s="100"/>
      <c r="J161" s="23"/>
      <c r="K161" s="4"/>
    </row>
    <row r="162" spans="3:11" x14ac:dyDescent="0.25">
      <c r="C162" s="9" t="s">
        <v>124</v>
      </c>
      <c r="D162" s="9"/>
      <c r="E162" s="81"/>
      <c r="F162" s="81"/>
      <c r="H162" s="9"/>
      <c r="I162" s="100"/>
      <c r="J162" s="23"/>
      <c r="K162" s="4"/>
    </row>
    <row r="163" spans="3:11" ht="12.6" customHeight="1" x14ac:dyDescent="0.25">
      <c r="C163" s="103" t="s">
        <v>125</v>
      </c>
      <c r="D163" s="103"/>
      <c r="E163" s="81"/>
      <c r="F163" s="81"/>
      <c r="G163" s="23">
        <v>4670850</v>
      </c>
      <c r="H163" s="22"/>
      <c r="I163" s="23">
        <v>-903582</v>
      </c>
      <c r="J163" s="17"/>
      <c r="K163" s="4"/>
    </row>
    <row r="164" spans="3:11" ht="12.6" customHeight="1" x14ac:dyDescent="0.25">
      <c r="C164" s="101" t="s">
        <v>126</v>
      </c>
      <c r="D164" s="101"/>
      <c r="E164" s="81"/>
      <c r="F164" s="81"/>
      <c r="G164" s="23">
        <v>-4863891</v>
      </c>
      <c r="H164" s="22"/>
      <c r="I164" s="23">
        <v>609002</v>
      </c>
      <c r="J164" s="17"/>
      <c r="K164" s="4"/>
    </row>
    <row r="165" spans="3:11" ht="12.6" customHeight="1" x14ac:dyDescent="0.25">
      <c r="C165" s="101" t="s">
        <v>127</v>
      </c>
      <c r="D165" s="101"/>
      <c r="E165" s="81"/>
      <c r="F165" s="81"/>
      <c r="G165" s="23">
        <v>5316485</v>
      </c>
      <c r="H165" s="22"/>
      <c r="I165" s="23">
        <v>-4527</v>
      </c>
      <c r="J165" s="17"/>
      <c r="K165" s="4"/>
    </row>
    <row r="166" spans="3:11" ht="12.6" customHeight="1" x14ac:dyDescent="0.25">
      <c r="C166" s="101" t="s">
        <v>128</v>
      </c>
      <c r="D166" s="101"/>
      <c r="E166" s="81"/>
      <c r="F166" s="81"/>
      <c r="G166" s="23">
        <v>-9764632</v>
      </c>
      <c r="H166" s="22"/>
      <c r="I166" s="23">
        <v>-572613</v>
      </c>
      <c r="J166" s="17"/>
      <c r="K166" s="4"/>
    </row>
    <row r="167" spans="3:11" ht="12.6" customHeight="1" x14ac:dyDescent="0.25">
      <c r="C167" s="101" t="s">
        <v>129</v>
      </c>
      <c r="D167" s="101"/>
      <c r="E167" s="81"/>
      <c r="F167" s="81"/>
      <c r="G167" s="23">
        <v>-537720</v>
      </c>
      <c r="H167" s="22"/>
      <c r="I167" s="23">
        <v>28877</v>
      </c>
      <c r="J167" s="17"/>
      <c r="K167" s="4"/>
    </row>
    <row r="168" spans="3:11" ht="12.6" customHeight="1" x14ac:dyDescent="0.25">
      <c r="C168" s="101" t="s">
        <v>130</v>
      </c>
      <c r="D168" s="101"/>
      <c r="E168" s="81"/>
      <c r="F168" s="81"/>
      <c r="G168" s="23">
        <v>1414316</v>
      </c>
      <c r="H168" s="22"/>
      <c r="I168" s="23">
        <v>-147613</v>
      </c>
      <c r="J168" s="17"/>
      <c r="K168" s="4"/>
    </row>
    <row r="169" spans="3:11" ht="12.6" customHeight="1" x14ac:dyDescent="0.25">
      <c r="C169" s="103" t="s">
        <v>131</v>
      </c>
      <c r="D169" s="103"/>
      <c r="E169" s="81"/>
      <c r="F169" s="81"/>
      <c r="G169" s="23">
        <v>977726</v>
      </c>
      <c r="H169" s="22"/>
      <c r="I169" s="23">
        <v>-616852</v>
      </c>
      <c r="J169" s="17"/>
      <c r="K169" s="4"/>
    </row>
    <row r="170" spans="3:11" ht="12.6" customHeight="1" x14ac:dyDescent="0.25">
      <c r="C170" s="103" t="s">
        <v>132</v>
      </c>
      <c r="D170" s="103"/>
      <c r="E170" s="81"/>
      <c r="F170" s="81"/>
      <c r="G170" s="23">
        <v>-1002297</v>
      </c>
      <c r="H170" s="22"/>
      <c r="I170" s="22">
        <v>0</v>
      </c>
      <c r="J170" s="17"/>
      <c r="K170" s="4"/>
    </row>
    <row r="171" spans="3:11" ht="12.6" customHeight="1" x14ac:dyDescent="0.25">
      <c r="C171" s="107" t="s">
        <v>133</v>
      </c>
      <c r="D171" s="107"/>
      <c r="E171" s="108"/>
      <c r="F171" s="108"/>
      <c r="G171" s="49">
        <v>1332501</v>
      </c>
      <c r="H171" s="89"/>
      <c r="I171" s="49">
        <v>379035</v>
      </c>
      <c r="J171" s="17"/>
      <c r="K171" s="4"/>
    </row>
    <row r="172" spans="3:11" ht="12.6" customHeight="1" x14ac:dyDescent="0.25">
      <c r="C172" s="106" t="s">
        <v>134</v>
      </c>
      <c r="D172" s="106"/>
      <c r="E172" s="81"/>
      <c r="F172" s="81"/>
      <c r="G172" s="22">
        <f>SUM(G160:G171)</f>
        <v>26564960</v>
      </c>
      <c r="H172" s="22"/>
      <c r="I172" s="22">
        <f>SUM(I160:I171)</f>
        <v>7253699</v>
      </c>
      <c r="J172" s="17"/>
      <c r="K172" s="4"/>
    </row>
    <row r="173" spans="3:11" x14ac:dyDescent="0.25">
      <c r="E173" s="81"/>
      <c r="F173" s="81"/>
      <c r="G173" s="100"/>
      <c r="H173" s="99"/>
      <c r="I173" s="100"/>
      <c r="J173" s="109"/>
      <c r="K173" s="4"/>
    </row>
    <row r="174" spans="3:11" x14ac:dyDescent="0.25">
      <c r="C174" s="62" t="s">
        <v>135</v>
      </c>
      <c r="D174" s="62"/>
      <c r="E174" s="108"/>
      <c r="F174" s="108"/>
      <c r="G174" s="23">
        <v>-1403772</v>
      </c>
      <c r="H174" s="89"/>
      <c r="I174" s="49">
        <v>-620626</v>
      </c>
      <c r="J174" s="17"/>
      <c r="K174" s="4"/>
    </row>
    <row r="175" spans="3:11" x14ac:dyDescent="0.25">
      <c r="C175" s="110" t="s">
        <v>136</v>
      </c>
      <c r="D175" s="110"/>
      <c r="E175" s="111"/>
      <c r="F175" s="111"/>
      <c r="G175" s="46">
        <f>SUM(G172:G174)</f>
        <v>25161188</v>
      </c>
      <c r="H175" s="46"/>
      <c r="I175" s="46">
        <f>SUM(I172:I174)</f>
        <v>6633073</v>
      </c>
      <c r="J175" s="17"/>
      <c r="K175" s="4"/>
    </row>
    <row r="176" spans="3:11" x14ac:dyDescent="0.25">
      <c r="G176" s="9"/>
      <c r="I176" s="23"/>
      <c r="K176" s="4"/>
    </row>
    <row r="177" spans="3:13" x14ac:dyDescent="0.25">
      <c r="I177" s="7"/>
      <c r="K177" s="4"/>
    </row>
    <row r="178" spans="3:13" ht="13.2" customHeight="1" x14ac:dyDescent="0.25">
      <c r="G178" s="134"/>
      <c r="H178" s="134"/>
      <c r="I178" s="134"/>
      <c r="K178" s="4"/>
    </row>
    <row r="179" spans="3:13" ht="25.95" customHeight="1" x14ac:dyDescent="0.25">
      <c r="G179" s="135" t="s">
        <v>113</v>
      </c>
      <c r="H179" s="135"/>
      <c r="I179" s="135"/>
      <c r="K179" s="4"/>
    </row>
    <row r="180" spans="3:13" ht="13.8" thickBot="1" x14ac:dyDescent="0.3">
      <c r="C180" s="95" t="s">
        <v>9</v>
      </c>
      <c r="D180" s="95"/>
      <c r="E180" s="96" t="s">
        <v>10</v>
      </c>
      <c r="F180" s="96"/>
      <c r="G180" s="112" t="s">
        <v>11</v>
      </c>
      <c r="H180" s="113"/>
      <c r="I180" s="112" t="s">
        <v>12</v>
      </c>
      <c r="J180" s="39"/>
      <c r="K180" s="4"/>
    </row>
    <row r="181" spans="3:13" x14ac:dyDescent="0.25">
      <c r="C181" s="61"/>
      <c r="D181" s="61"/>
      <c r="E181" s="81"/>
      <c r="F181" s="81"/>
      <c r="G181" s="100"/>
      <c r="H181" s="100"/>
      <c r="K181" s="4"/>
    </row>
    <row r="182" spans="3:13" x14ac:dyDescent="0.25">
      <c r="C182" s="60" t="s">
        <v>137</v>
      </c>
      <c r="D182" s="60"/>
      <c r="E182" s="81"/>
      <c r="F182" s="81"/>
      <c r="H182" s="100"/>
      <c r="I182" s="23"/>
      <c r="K182" s="4"/>
    </row>
    <row r="183" spans="3:13" ht="26.4" x14ac:dyDescent="0.25">
      <c r="C183" s="103" t="s">
        <v>138</v>
      </c>
      <c r="D183" s="61"/>
      <c r="E183" s="81"/>
      <c r="F183" s="81"/>
      <c r="G183" s="23">
        <v>-29444349</v>
      </c>
      <c r="H183" s="23"/>
      <c r="I183" s="23">
        <v>-9561802</v>
      </c>
      <c r="K183" s="4"/>
    </row>
    <row r="184" spans="3:13" ht="12.6" customHeight="1" x14ac:dyDescent="0.25">
      <c r="C184" s="61" t="s">
        <v>139</v>
      </c>
      <c r="D184" s="61"/>
      <c r="E184" s="81"/>
      <c r="F184" s="81"/>
      <c r="G184" s="23">
        <v>46215</v>
      </c>
      <c r="H184" s="100"/>
      <c r="I184" s="23">
        <v>0</v>
      </c>
      <c r="K184" s="4"/>
    </row>
    <row r="185" spans="3:13" ht="12.6" customHeight="1" x14ac:dyDescent="0.25">
      <c r="C185" s="61" t="s">
        <v>140</v>
      </c>
      <c r="D185" s="61"/>
      <c r="E185" s="81"/>
      <c r="F185" s="81"/>
      <c r="G185" s="23">
        <v>-237850</v>
      </c>
      <c r="H185" s="100"/>
      <c r="I185" s="23">
        <v>-117635</v>
      </c>
      <c r="K185" s="4"/>
    </row>
    <row r="186" spans="3:13" ht="12.6" customHeight="1" x14ac:dyDescent="0.25">
      <c r="C186" s="61" t="s">
        <v>141</v>
      </c>
      <c r="D186" s="61"/>
      <c r="E186" s="81"/>
      <c r="F186" s="81"/>
      <c r="G186" s="23">
        <v>0</v>
      </c>
      <c r="H186" s="100"/>
      <c r="I186" s="23">
        <v>-84792</v>
      </c>
      <c r="K186" s="4"/>
    </row>
    <row r="187" spans="3:13" ht="12.6" customHeight="1" x14ac:dyDescent="0.25">
      <c r="C187" s="61" t="s">
        <v>142</v>
      </c>
      <c r="D187" s="61"/>
      <c r="E187" s="81"/>
      <c r="F187" s="81"/>
      <c r="G187" s="23">
        <v>12110</v>
      </c>
      <c r="H187" s="100"/>
      <c r="I187" s="23">
        <v>0</v>
      </c>
      <c r="K187" s="4"/>
      <c r="M187" s="2"/>
    </row>
    <row r="188" spans="3:13" ht="12.6" customHeight="1" x14ac:dyDescent="0.25">
      <c r="C188" s="103" t="s">
        <v>143</v>
      </c>
      <c r="D188" s="103"/>
      <c r="E188" s="81"/>
      <c r="F188" s="81"/>
      <c r="G188" s="23">
        <v>-1545352</v>
      </c>
      <c r="H188" s="100"/>
      <c r="I188" s="23">
        <v>-25920</v>
      </c>
      <c r="K188" s="4"/>
      <c r="M188" s="2"/>
    </row>
    <row r="189" spans="3:13" ht="12.6" customHeight="1" x14ac:dyDescent="0.25">
      <c r="C189" s="61" t="s">
        <v>144</v>
      </c>
      <c r="D189" s="61"/>
      <c r="E189" s="81"/>
      <c r="F189" s="81"/>
      <c r="G189" s="23">
        <v>123897</v>
      </c>
      <c r="H189" s="100"/>
      <c r="I189" s="23">
        <v>4340</v>
      </c>
      <c r="K189" s="4"/>
      <c r="M189" s="2"/>
    </row>
    <row r="190" spans="3:13" ht="12.6" customHeight="1" x14ac:dyDescent="0.25">
      <c r="C190" s="61" t="s">
        <v>145</v>
      </c>
      <c r="D190" s="61"/>
      <c r="E190" s="81"/>
      <c r="F190" s="81"/>
      <c r="G190" s="23">
        <v>0</v>
      </c>
      <c r="H190" s="100"/>
      <c r="I190" s="23">
        <v>-106125</v>
      </c>
      <c r="K190" s="4"/>
      <c r="M190" s="2"/>
    </row>
    <row r="191" spans="3:13" ht="12.6" customHeight="1" x14ac:dyDescent="0.25">
      <c r="C191" s="114" t="s">
        <v>146</v>
      </c>
      <c r="D191" s="114"/>
      <c r="E191" s="11"/>
      <c r="F191" s="11"/>
      <c r="G191" s="23">
        <v>970054</v>
      </c>
      <c r="H191" s="50"/>
      <c r="I191" s="23">
        <v>0</v>
      </c>
      <c r="K191" s="4"/>
      <c r="M191" s="2"/>
    </row>
    <row r="192" spans="3:13" ht="15" customHeight="1" x14ac:dyDescent="0.25">
      <c r="C192" s="115" t="s">
        <v>147</v>
      </c>
      <c r="D192" s="115"/>
      <c r="E192" s="71"/>
      <c r="F192" s="71"/>
      <c r="G192" s="46">
        <f>SUM(G183:G191)</f>
        <v>-30075275</v>
      </c>
      <c r="H192" s="71"/>
      <c r="I192" s="46">
        <f>SUM(I183:I190)</f>
        <v>-9891934</v>
      </c>
      <c r="K192" s="4"/>
      <c r="M192" s="2"/>
    </row>
    <row r="193" spans="3:13" ht="15" customHeight="1" x14ac:dyDescent="0.25">
      <c r="C193" s="60"/>
      <c r="D193" s="60"/>
      <c r="E193" s="116"/>
      <c r="F193" s="116"/>
      <c r="G193" s="31"/>
      <c r="H193" s="31"/>
      <c r="I193" s="23"/>
      <c r="K193" s="4"/>
      <c r="M193" s="2"/>
    </row>
    <row r="194" spans="3:13" x14ac:dyDescent="0.25">
      <c r="C194" s="60" t="s">
        <v>148</v>
      </c>
      <c r="D194" s="60"/>
      <c r="E194" s="116"/>
      <c r="F194" s="116"/>
      <c r="G194" s="31"/>
      <c r="H194" s="31"/>
      <c r="I194" s="23"/>
      <c r="K194" s="4"/>
      <c r="M194" s="2"/>
    </row>
    <row r="195" spans="3:13" x14ac:dyDescent="0.25">
      <c r="C195" s="61" t="s">
        <v>149</v>
      </c>
      <c r="D195" s="61"/>
      <c r="E195" s="104"/>
      <c r="F195" s="104"/>
      <c r="G195" s="23">
        <v>-19281</v>
      </c>
      <c r="H195" s="56"/>
      <c r="I195" s="23">
        <v>0</v>
      </c>
      <c r="K195" s="4"/>
      <c r="M195" s="2"/>
    </row>
    <row r="196" spans="3:13" x14ac:dyDescent="0.25">
      <c r="C196" s="61" t="s">
        <v>150</v>
      </c>
      <c r="D196" s="61"/>
      <c r="E196" s="104"/>
      <c r="F196" s="104"/>
      <c r="G196" s="23">
        <v>26856976</v>
      </c>
      <c r="H196" s="56"/>
      <c r="I196" s="23">
        <v>8276299</v>
      </c>
      <c r="K196" s="4"/>
      <c r="M196" s="2"/>
    </row>
    <row r="197" spans="3:13" x14ac:dyDescent="0.25">
      <c r="C197" s="61" t="s">
        <v>151</v>
      </c>
      <c r="D197" s="61"/>
      <c r="E197" s="104"/>
      <c r="F197" s="104"/>
      <c r="G197" s="23">
        <v>0</v>
      </c>
      <c r="H197" s="56"/>
      <c r="I197" s="23">
        <v>-3097210</v>
      </c>
      <c r="K197" s="4"/>
      <c r="M197" s="2"/>
    </row>
    <row r="198" spans="3:13" x14ac:dyDescent="0.25">
      <c r="C198" s="61" t="s">
        <v>152</v>
      </c>
      <c r="D198" s="61"/>
      <c r="E198" s="104"/>
      <c r="F198" s="104"/>
      <c r="G198" s="23">
        <v>-2502663</v>
      </c>
      <c r="H198" s="56"/>
      <c r="I198" s="23">
        <v>-578879</v>
      </c>
      <c r="K198" s="4"/>
      <c r="M198" s="2"/>
    </row>
    <row r="199" spans="3:13" x14ac:dyDescent="0.25">
      <c r="C199" s="61" t="s">
        <v>145</v>
      </c>
      <c r="D199" s="61"/>
      <c r="E199" s="102"/>
      <c r="F199" s="102"/>
      <c r="G199" s="23">
        <v>-52222</v>
      </c>
      <c r="H199" s="56"/>
      <c r="I199" s="23">
        <v>0</v>
      </c>
      <c r="K199" s="4"/>
      <c r="M199" s="2"/>
    </row>
    <row r="200" spans="3:13" x14ac:dyDescent="0.25">
      <c r="C200" s="62" t="s">
        <v>153</v>
      </c>
      <c r="D200" s="62"/>
      <c r="E200" s="117"/>
      <c r="F200" s="117"/>
      <c r="G200" s="23">
        <v>-218907</v>
      </c>
      <c r="H200" s="50"/>
      <c r="I200" s="49">
        <v>-200477</v>
      </c>
      <c r="K200" s="4"/>
      <c r="M200" s="2"/>
    </row>
    <row r="201" spans="3:13" x14ac:dyDescent="0.25">
      <c r="C201" s="115" t="s">
        <v>154</v>
      </c>
      <c r="D201" s="115"/>
      <c r="E201" s="118"/>
      <c r="F201" s="118"/>
      <c r="G201" s="46">
        <f>SUM(G195:G200)</f>
        <v>24063903</v>
      </c>
      <c r="H201" s="71"/>
      <c r="I201" s="46">
        <f>SUM(I195:I200)</f>
        <v>4399733</v>
      </c>
      <c r="K201" s="4"/>
      <c r="M201" s="2"/>
    </row>
    <row r="202" spans="3:13" ht="15" customHeight="1" x14ac:dyDescent="0.25">
      <c r="C202" s="61"/>
      <c r="D202" s="61"/>
      <c r="E202" s="104"/>
      <c r="F202" s="104"/>
      <c r="G202" s="56"/>
      <c r="H202" s="56"/>
      <c r="I202" s="23"/>
      <c r="K202" s="4"/>
      <c r="M202" s="2"/>
    </row>
    <row r="203" spans="3:13" x14ac:dyDescent="0.25">
      <c r="C203" s="106" t="s">
        <v>155</v>
      </c>
      <c r="D203" s="106"/>
      <c r="E203" s="104"/>
      <c r="F203" s="104"/>
      <c r="G203" s="23">
        <f>G201+G192+G175</f>
        <v>19149816</v>
      </c>
      <c r="H203" s="56"/>
      <c r="I203" s="23">
        <f>I201+I192+I175</f>
        <v>1140872</v>
      </c>
      <c r="K203" s="4"/>
      <c r="M203" s="2"/>
    </row>
    <row r="204" spans="3:13" x14ac:dyDescent="0.25">
      <c r="C204" s="119" t="s">
        <v>156</v>
      </c>
      <c r="D204" s="119"/>
      <c r="E204" s="104"/>
      <c r="F204" s="104"/>
      <c r="G204" s="23">
        <v>3446027</v>
      </c>
      <c r="H204" s="56"/>
      <c r="I204" s="23">
        <v>18117</v>
      </c>
      <c r="K204" s="4"/>
      <c r="M204" s="2"/>
    </row>
    <row r="205" spans="3:13" x14ac:dyDescent="0.25">
      <c r="C205" s="119" t="s">
        <v>157</v>
      </c>
      <c r="D205" s="119"/>
      <c r="E205" s="104"/>
      <c r="F205" s="104"/>
      <c r="G205" s="23">
        <v>-39053</v>
      </c>
      <c r="H205" s="56"/>
      <c r="I205" s="23">
        <v>0</v>
      </c>
      <c r="K205" s="4"/>
      <c r="M205" s="2"/>
    </row>
    <row r="206" spans="3:13" x14ac:dyDescent="0.25">
      <c r="C206" s="120" t="s">
        <v>158</v>
      </c>
      <c r="D206" s="120"/>
      <c r="E206" s="11"/>
      <c r="F206" s="11"/>
      <c r="G206" s="49">
        <f>I69</f>
        <v>17486185</v>
      </c>
      <c r="H206" s="50"/>
      <c r="I206" s="49">
        <v>4356302</v>
      </c>
      <c r="K206" s="4"/>
      <c r="M206" s="2"/>
    </row>
    <row r="207" spans="3:13" ht="13.8" thickBot="1" x14ac:dyDescent="0.3">
      <c r="C207" s="121" t="s">
        <v>159</v>
      </c>
      <c r="D207" s="121"/>
      <c r="E207" s="122">
        <f>E69</f>
        <v>24</v>
      </c>
      <c r="F207" s="122"/>
      <c r="G207" s="54">
        <f>SUM(G203:G206)</f>
        <v>40042975</v>
      </c>
      <c r="H207" s="123"/>
      <c r="I207" s="54">
        <f>SUM(I203:I206)</f>
        <v>5515291</v>
      </c>
      <c r="K207" s="4"/>
      <c r="M207" s="2"/>
    </row>
    <row r="208" spans="3:13" ht="15" customHeight="1" x14ac:dyDescent="0.25">
      <c r="G208" s="9"/>
      <c r="I208" s="32"/>
      <c r="K208" s="4"/>
      <c r="M208" s="2"/>
    </row>
    <row r="209" spans="7:13" ht="15" customHeight="1" x14ac:dyDescent="0.25">
      <c r="G209" s="33">
        <f>$G$69-G207</f>
        <v>0</v>
      </c>
      <c r="I209" s="33"/>
      <c r="K209" s="4"/>
      <c r="M209" s="2"/>
    </row>
    <row r="210" spans="7:13" x14ac:dyDescent="0.25">
      <c r="G210" s="9"/>
      <c r="K210" s="4"/>
      <c r="M210" s="2"/>
    </row>
    <row r="211" spans="7:13" x14ac:dyDescent="0.25">
      <c r="G211" s="9"/>
      <c r="K211" s="4"/>
      <c r="M211" s="2"/>
    </row>
    <row r="212" spans="7:13" x14ac:dyDescent="0.25">
      <c r="G212" s="9"/>
      <c r="K212" s="4"/>
      <c r="M212" s="2"/>
    </row>
    <row r="213" spans="7:13" x14ac:dyDescent="0.25">
      <c r="G213" s="9"/>
      <c r="K213" s="4"/>
      <c r="M213" s="2"/>
    </row>
    <row r="214" spans="7:13" x14ac:dyDescent="0.25">
      <c r="K214" s="4"/>
      <c r="M214" s="2"/>
    </row>
    <row r="215" spans="7:13" x14ac:dyDescent="0.25">
      <c r="K215" s="4"/>
      <c r="M215" s="2"/>
    </row>
    <row r="216" spans="7:13" x14ac:dyDescent="0.25">
      <c r="K216" s="4"/>
      <c r="M216" s="2"/>
    </row>
    <row r="217" spans="7:13" x14ac:dyDescent="0.25">
      <c r="K217" s="4"/>
      <c r="M217" s="2"/>
    </row>
    <row r="218" spans="7:13" x14ac:dyDescent="0.25">
      <c r="K218" s="4"/>
      <c r="M218" s="2"/>
    </row>
    <row r="219" spans="7:13" x14ac:dyDescent="0.25">
      <c r="K219" s="4"/>
      <c r="M219" s="2"/>
    </row>
    <row r="220" spans="7:13" x14ac:dyDescent="0.25">
      <c r="K220" s="4"/>
      <c r="M220" s="2"/>
    </row>
    <row r="221" spans="7:13" x14ac:dyDescent="0.25">
      <c r="K221" s="4"/>
      <c r="M221" s="2"/>
    </row>
    <row r="222" spans="7:13" x14ac:dyDescent="0.25">
      <c r="K222" s="4"/>
      <c r="M222" s="2"/>
    </row>
    <row r="223" spans="7:13" x14ac:dyDescent="0.25">
      <c r="M223" s="2"/>
    </row>
  </sheetData>
  <mergeCells count="6">
    <mergeCell ref="G5:I6"/>
    <mergeCell ref="G122:M122"/>
    <mergeCell ref="G141:I141"/>
    <mergeCell ref="G142:I142"/>
    <mergeCell ref="G178:I178"/>
    <mergeCell ref="G179:I1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Demegenova</dc:creator>
  <cp:lastModifiedBy>Dina Demegenova</cp:lastModifiedBy>
  <dcterms:created xsi:type="dcterms:W3CDTF">2020-06-10T12:02:32Z</dcterms:created>
  <dcterms:modified xsi:type="dcterms:W3CDTF">2020-06-10T12:07:12Z</dcterms:modified>
</cp:coreProperties>
</file>