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Анара\2022\Баланс\06_июнь\"/>
    </mc:Choice>
  </mc:AlternateContent>
  <bookViews>
    <workbookView xWindow="0" yWindow="0" windowWidth="28800" windowHeight="11400"/>
  </bookViews>
  <sheets>
    <sheet name="Лист1" sheetId="1" r:id="rId1"/>
    <sheet name="Лист2" sheetId="2" r:id="rId2"/>
  </sheets>
  <definedNames>
    <definedName name="_xlnm._FilterDatabase" localSheetId="0" hidden="1">Лист1!$A$6:$I$462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H329" i="1"/>
  <c r="G329" i="1"/>
  <c r="F329" i="1"/>
  <c r="E329" i="1"/>
  <c r="D329" i="1"/>
  <c r="H60" i="1"/>
  <c r="G60" i="1"/>
  <c r="F60" i="1"/>
  <c r="E60" i="1"/>
  <c r="D60" i="1"/>
  <c r="H87" i="1"/>
  <c r="G87" i="1"/>
  <c r="F87" i="1"/>
  <c r="E87" i="1"/>
  <c r="D87" i="1"/>
  <c r="H448" i="1"/>
  <c r="G448" i="1"/>
  <c r="F448" i="1"/>
  <c r="E448" i="1"/>
  <c r="D448" i="1"/>
  <c r="H335" i="1"/>
  <c r="G335" i="1"/>
  <c r="F335" i="1"/>
  <c r="E335" i="1"/>
  <c r="D335" i="1"/>
  <c r="H262" i="1"/>
  <c r="G262" i="1"/>
  <c r="F262" i="1"/>
  <c r="E262" i="1"/>
  <c r="D262" i="1"/>
  <c r="H152" i="1"/>
  <c r="G152" i="1"/>
  <c r="F152" i="1"/>
  <c r="E152" i="1"/>
  <c r="D152" i="1"/>
  <c r="H43" i="1"/>
  <c r="G43" i="1"/>
  <c r="F43" i="1"/>
  <c r="E43" i="1"/>
  <c r="D43" i="1"/>
  <c r="H450" i="1"/>
  <c r="G450" i="1"/>
  <c r="F450" i="1"/>
  <c r="E450" i="1"/>
  <c r="D450" i="1"/>
  <c r="H436" i="1"/>
  <c r="G436" i="1"/>
  <c r="F436" i="1"/>
  <c r="E436" i="1"/>
  <c r="D436" i="1"/>
  <c r="H439" i="1"/>
  <c r="G439" i="1"/>
  <c r="F439" i="1"/>
  <c r="E439" i="1"/>
  <c r="D439" i="1"/>
  <c r="H381" i="1"/>
  <c r="G381" i="1"/>
  <c r="F381" i="1"/>
  <c r="E381" i="1"/>
  <c r="D381" i="1"/>
  <c r="H350" i="1"/>
  <c r="G350" i="1"/>
  <c r="F350" i="1"/>
  <c r="E350" i="1"/>
  <c r="D350" i="1"/>
  <c r="H372" i="1"/>
  <c r="G372" i="1"/>
  <c r="F372" i="1"/>
  <c r="E372" i="1"/>
  <c r="D372" i="1"/>
  <c r="H337" i="1"/>
  <c r="G337" i="1"/>
  <c r="F337" i="1"/>
  <c r="E337" i="1"/>
  <c r="D337" i="1"/>
  <c r="H286" i="1"/>
  <c r="G286" i="1"/>
  <c r="F286" i="1"/>
  <c r="E286" i="1"/>
  <c r="D286" i="1"/>
  <c r="H271" i="1"/>
  <c r="G271" i="1"/>
  <c r="F271" i="1"/>
  <c r="E271" i="1"/>
  <c r="D271" i="1"/>
  <c r="H265" i="1"/>
  <c r="G265" i="1"/>
  <c r="F265" i="1"/>
  <c r="E265" i="1"/>
  <c r="D265" i="1"/>
  <c r="H207" i="1"/>
  <c r="G207" i="1"/>
  <c r="F207" i="1"/>
  <c r="E207" i="1"/>
  <c r="D207" i="1"/>
  <c r="H183" i="1"/>
  <c r="G183" i="1"/>
  <c r="F183" i="1"/>
  <c r="E183" i="1"/>
  <c r="D183" i="1"/>
  <c r="H191" i="1"/>
  <c r="G191" i="1"/>
  <c r="F191" i="1"/>
  <c r="E191" i="1"/>
  <c r="D191" i="1"/>
  <c r="H160" i="1"/>
  <c r="G160" i="1"/>
  <c r="F160" i="1"/>
  <c r="E160" i="1"/>
  <c r="D160" i="1"/>
  <c r="H107" i="1"/>
  <c r="G107" i="1"/>
  <c r="F107" i="1"/>
  <c r="E107" i="1"/>
  <c r="D107" i="1"/>
  <c r="H44" i="1"/>
  <c r="G44" i="1"/>
  <c r="F44" i="1"/>
  <c r="E44" i="1"/>
  <c r="D44" i="1"/>
  <c r="H33" i="1"/>
  <c r="G33" i="1"/>
  <c r="F33" i="1"/>
  <c r="E33" i="1"/>
  <c r="D33" i="1"/>
  <c r="H16" i="1"/>
  <c r="G16" i="1"/>
  <c r="F16" i="1"/>
  <c r="E16" i="1"/>
  <c r="D16" i="1"/>
  <c r="H84" i="1"/>
  <c r="G84" i="1"/>
  <c r="F84" i="1"/>
  <c r="E84" i="1"/>
  <c r="D84" i="1"/>
  <c r="H288" i="1"/>
  <c r="G288" i="1"/>
  <c r="F288" i="1"/>
  <c r="E288" i="1"/>
  <c r="D288" i="1"/>
  <c r="H134" i="1"/>
  <c r="G134" i="1"/>
  <c r="F134" i="1"/>
  <c r="E134" i="1"/>
  <c r="D134" i="1"/>
  <c r="H40" i="1"/>
  <c r="G40" i="1"/>
  <c r="F40" i="1"/>
  <c r="E40" i="1"/>
  <c r="D40" i="1"/>
  <c r="H453" i="1"/>
  <c r="G453" i="1"/>
  <c r="F453" i="1"/>
  <c r="E453" i="1"/>
  <c r="D453" i="1"/>
  <c r="H435" i="1"/>
  <c r="G435" i="1"/>
  <c r="F435" i="1"/>
  <c r="E435" i="1"/>
  <c r="D435" i="1"/>
  <c r="H421" i="1"/>
  <c r="G421" i="1"/>
  <c r="F421" i="1"/>
  <c r="E421" i="1"/>
  <c r="D421" i="1"/>
  <c r="H428" i="1"/>
  <c r="G428" i="1"/>
  <c r="F428" i="1"/>
  <c r="E428" i="1"/>
  <c r="D428" i="1"/>
  <c r="H390" i="1"/>
  <c r="G390" i="1"/>
  <c r="F390" i="1"/>
  <c r="E390" i="1"/>
  <c r="D390" i="1"/>
  <c r="H354" i="1"/>
  <c r="G354" i="1"/>
  <c r="F354" i="1"/>
  <c r="E354" i="1"/>
  <c r="D354" i="1"/>
  <c r="H352" i="1"/>
  <c r="G352" i="1"/>
  <c r="F352" i="1"/>
  <c r="E352" i="1"/>
  <c r="D352" i="1"/>
  <c r="H324" i="1"/>
  <c r="G324" i="1"/>
  <c r="F324" i="1"/>
  <c r="E324" i="1"/>
  <c r="D324" i="1"/>
  <c r="H289" i="1"/>
  <c r="G289" i="1"/>
  <c r="F289" i="1"/>
  <c r="E289" i="1"/>
  <c r="D289" i="1"/>
  <c r="H255" i="1"/>
  <c r="G255" i="1"/>
  <c r="F255" i="1"/>
  <c r="E255" i="1"/>
  <c r="D255" i="1"/>
  <c r="H249" i="1"/>
  <c r="G249" i="1"/>
  <c r="F249" i="1"/>
  <c r="E249" i="1"/>
  <c r="D249" i="1"/>
  <c r="H213" i="1"/>
  <c r="G213" i="1"/>
  <c r="F213" i="1"/>
  <c r="E213" i="1"/>
  <c r="D213" i="1"/>
  <c r="H205" i="1"/>
  <c r="G205" i="1"/>
  <c r="F205" i="1"/>
  <c r="E205" i="1"/>
  <c r="D205" i="1"/>
  <c r="H180" i="1"/>
  <c r="G180" i="1"/>
  <c r="F180" i="1"/>
  <c r="E180" i="1"/>
  <c r="D180" i="1"/>
  <c r="H156" i="1"/>
  <c r="G156" i="1"/>
  <c r="F156" i="1"/>
  <c r="E156" i="1"/>
  <c r="D156" i="1"/>
  <c r="H129" i="1"/>
  <c r="G129" i="1"/>
  <c r="F129" i="1"/>
  <c r="E129" i="1"/>
  <c r="D129" i="1"/>
  <c r="H115" i="1"/>
  <c r="G115" i="1"/>
  <c r="F115" i="1"/>
  <c r="E115" i="1"/>
  <c r="D115" i="1"/>
  <c r="H74" i="1"/>
  <c r="G74" i="1"/>
  <c r="F74" i="1"/>
  <c r="E74" i="1"/>
  <c r="D74" i="1"/>
  <c r="H97" i="1"/>
  <c r="G97" i="1"/>
  <c r="F97" i="1"/>
  <c r="E97" i="1"/>
  <c r="D97" i="1"/>
  <c r="H31" i="1"/>
  <c r="G31" i="1"/>
  <c r="F31" i="1"/>
  <c r="E31" i="1"/>
  <c r="D31" i="1"/>
  <c r="H15" i="1"/>
  <c r="G15" i="1"/>
  <c r="F15" i="1"/>
  <c r="E15" i="1"/>
  <c r="D15" i="1"/>
  <c r="H8" i="1"/>
  <c r="G8" i="1"/>
  <c r="F8" i="1"/>
  <c r="E8" i="1"/>
  <c r="D8" i="1"/>
  <c r="H449" i="1"/>
  <c r="G449" i="1"/>
  <c r="F449" i="1"/>
  <c r="E449" i="1"/>
  <c r="D449" i="1"/>
  <c r="H441" i="1"/>
  <c r="G441" i="1"/>
  <c r="F441" i="1"/>
  <c r="E441" i="1"/>
  <c r="D441" i="1"/>
  <c r="H445" i="1"/>
  <c r="G445" i="1"/>
  <c r="F445" i="1"/>
  <c r="E445" i="1"/>
  <c r="D445" i="1"/>
  <c r="H391" i="1"/>
  <c r="G391" i="1"/>
  <c r="F391" i="1"/>
  <c r="E391" i="1"/>
  <c r="D391" i="1"/>
  <c r="H364" i="1"/>
  <c r="G364" i="1"/>
  <c r="F364" i="1"/>
  <c r="E364" i="1"/>
  <c r="D364" i="1"/>
  <c r="H392" i="1"/>
  <c r="G392" i="1"/>
  <c r="F392" i="1"/>
  <c r="E392" i="1"/>
  <c r="D392" i="1"/>
  <c r="H370" i="1"/>
  <c r="G370" i="1"/>
  <c r="F370" i="1"/>
  <c r="E370" i="1"/>
  <c r="D370" i="1"/>
  <c r="H359" i="1"/>
  <c r="G359" i="1"/>
  <c r="F359" i="1"/>
  <c r="E359" i="1"/>
  <c r="D359" i="1"/>
  <c r="H326" i="1"/>
  <c r="G326" i="1"/>
  <c r="F326" i="1"/>
  <c r="E326" i="1"/>
  <c r="D326" i="1"/>
  <c r="H321" i="1"/>
  <c r="G321" i="1"/>
  <c r="F321" i="1"/>
  <c r="E321" i="1"/>
  <c r="D321" i="1"/>
  <c r="H301" i="1"/>
  <c r="G301" i="1"/>
  <c r="F301" i="1"/>
  <c r="E301" i="1"/>
  <c r="D301" i="1"/>
  <c r="H287" i="1"/>
  <c r="G287" i="1"/>
  <c r="F287" i="1"/>
  <c r="E287" i="1"/>
  <c r="D287" i="1"/>
  <c r="H270" i="1"/>
  <c r="G270" i="1"/>
  <c r="F270" i="1"/>
  <c r="E270" i="1"/>
  <c r="D270" i="1"/>
  <c r="H256" i="1"/>
  <c r="G256" i="1"/>
  <c r="F256" i="1"/>
  <c r="E256" i="1"/>
  <c r="D256" i="1"/>
  <c r="H248" i="1"/>
  <c r="G248" i="1"/>
  <c r="F248" i="1"/>
  <c r="E248" i="1"/>
  <c r="D248" i="1"/>
  <c r="H220" i="1"/>
  <c r="G220" i="1"/>
  <c r="F220" i="1"/>
  <c r="E220" i="1"/>
  <c r="D220" i="1"/>
  <c r="H198" i="1"/>
  <c r="G198" i="1"/>
  <c r="F198" i="1"/>
  <c r="E198" i="1"/>
  <c r="D198" i="1"/>
  <c r="H202" i="1"/>
  <c r="G202" i="1"/>
  <c r="F202" i="1"/>
  <c r="E202" i="1"/>
  <c r="D202" i="1"/>
  <c r="H177" i="1"/>
  <c r="G177" i="1"/>
  <c r="F177" i="1"/>
  <c r="E177" i="1"/>
  <c r="D177" i="1"/>
  <c r="H163" i="1"/>
  <c r="G163" i="1"/>
  <c r="F163" i="1"/>
  <c r="E163" i="1"/>
  <c r="D163" i="1"/>
  <c r="H154" i="1"/>
  <c r="G154" i="1"/>
  <c r="F154" i="1"/>
  <c r="E154" i="1"/>
  <c r="D154" i="1"/>
  <c r="H151" i="1"/>
  <c r="G151" i="1"/>
  <c r="F151" i="1"/>
  <c r="E151" i="1"/>
  <c r="D151" i="1"/>
  <c r="H125" i="1"/>
  <c r="G125" i="1"/>
  <c r="F125" i="1"/>
  <c r="E125" i="1"/>
  <c r="D125" i="1"/>
  <c r="H96" i="1"/>
  <c r="G96" i="1"/>
  <c r="F96" i="1"/>
  <c r="E96" i="1"/>
  <c r="D96" i="1"/>
  <c r="H90" i="1"/>
  <c r="G90" i="1"/>
  <c r="F90" i="1"/>
  <c r="E90" i="1"/>
  <c r="D90" i="1"/>
  <c r="H27" i="1"/>
  <c r="G27" i="1"/>
  <c r="F27" i="1"/>
  <c r="E27" i="1"/>
  <c r="D27" i="1"/>
  <c r="H39" i="1"/>
  <c r="G39" i="1"/>
  <c r="F39" i="1"/>
  <c r="E39" i="1"/>
  <c r="D39" i="1"/>
  <c r="H338" i="1"/>
  <c r="G338" i="1"/>
  <c r="F338" i="1"/>
  <c r="E338" i="1"/>
  <c r="D338" i="1"/>
  <c r="H197" i="1"/>
  <c r="G197" i="1"/>
  <c r="F197" i="1"/>
  <c r="E197" i="1"/>
  <c r="D197" i="1"/>
  <c r="H52" i="1"/>
  <c r="G52" i="1"/>
  <c r="F52" i="1"/>
  <c r="E52" i="1"/>
  <c r="D52" i="1"/>
  <c r="H48" i="1"/>
  <c r="G48" i="1"/>
  <c r="F48" i="1"/>
  <c r="E48" i="1"/>
  <c r="D48" i="1"/>
  <c r="H446" i="1"/>
  <c r="G446" i="1"/>
  <c r="F446" i="1"/>
  <c r="E446" i="1"/>
  <c r="D446" i="1"/>
  <c r="H410" i="1"/>
  <c r="G410" i="1"/>
  <c r="F410" i="1"/>
  <c r="E410" i="1"/>
  <c r="D410" i="1"/>
  <c r="H375" i="1"/>
  <c r="G375" i="1"/>
  <c r="F375" i="1"/>
  <c r="E375" i="1"/>
  <c r="D375" i="1"/>
  <c r="H351" i="1"/>
  <c r="G351" i="1"/>
  <c r="F351" i="1"/>
  <c r="E351" i="1"/>
  <c r="D351" i="1"/>
  <c r="H313" i="1"/>
  <c r="G313" i="1"/>
  <c r="F313" i="1"/>
  <c r="E313" i="1"/>
  <c r="D313" i="1"/>
  <c r="H315" i="1"/>
  <c r="G315" i="1"/>
  <c r="F315" i="1"/>
  <c r="E315" i="1"/>
  <c r="D315" i="1"/>
  <c r="H277" i="1"/>
  <c r="G277" i="1"/>
  <c r="F277" i="1"/>
  <c r="E277" i="1"/>
  <c r="D277" i="1"/>
  <c r="H225" i="1"/>
  <c r="G225" i="1"/>
  <c r="F225" i="1"/>
  <c r="E225" i="1"/>
  <c r="D225" i="1"/>
  <c r="H226" i="1"/>
  <c r="G226" i="1"/>
  <c r="F226" i="1"/>
  <c r="E226" i="1"/>
  <c r="D226" i="1"/>
  <c r="H167" i="1"/>
  <c r="G167" i="1"/>
  <c r="F167" i="1"/>
  <c r="E167" i="1"/>
  <c r="D167" i="1"/>
  <c r="H143" i="1"/>
  <c r="G143" i="1"/>
  <c r="F143" i="1"/>
  <c r="E143" i="1"/>
  <c r="D143" i="1"/>
  <c r="H121" i="1"/>
  <c r="G121" i="1"/>
  <c r="F121" i="1"/>
  <c r="E121" i="1"/>
  <c r="D121" i="1"/>
  <c r="H114" i="1"/>
  <c r="G114" i="1"/>
  <c r="F114" i="1"/>
  <c r="E114" i="1"/>
  <c r="D114" i="1"/>
  <c r="H12" i="1"/>
  <c r="G12" i="1"/>
  <c r="F12" i="1"/>
  <c r="E12" i="1"/>
  <c r="D12" i="1"/>
  <c r="H38" i="1"/>
  <c r="G38" i="1"/>
  <c r="F38" i="1"/>
  <c r="E38" i="1"/>
  <c r="D38" i="1"/>
  <c r="H36" i="1"/>
  <c r="G36" i="1"/>
  <c r="F36" i="1"/>
  <c r="E36" i="1"/>
  <c r="D36" i="1"/>
  <c r="H388" i="1"/>
  <c r="G388" i="1"/>
  <c r="F388" i="1"/>
  <c r="E388" i="1"/>
  <c r="D388" i="1"/>
  <c r="H296" i="1"/>
  <c r="G296" i="1"/>
  <c r="F296" i="1"/>
  <c r="E296" i="1"/>
  <c r="D296" i="1"/>
  <c r="H188" i="1"/>
  <c r="G188" i="1"/>
  <c r="F188" i="1"/>
  <c r="E188" i="1"/>
  <c r="D188" i="1"/>
  <c r="H105" i="1"/>
  <c r="G105" i="1"/>
  <c r="F105" i="1"/>
  <c r="E105" i="1"/>
  <c r="D105" i="1"/>
  <c r="H443" i="1"/>
  <c r="G443" i="1"/>
  <c r="F443" i="1"/>
  <c r="E443" i="1"/>
  <c r="D443" i="1"/>
  <c r="H360" i="1"/>
  <c r="G360" i="1"/>
  <c r="F360" i="1"/>
  <c r="E360" i="1"/>
  <c r="D360" i="1"/>
  <c r="H235" i="1"/>
  <c r="G235" i="1"/>
  <c r="F235" i="1"/>
  <c r="E235" i="1"/>
  <c r="D235" i="1"/>
  <c r="H164" i="1"/>
  <c r="G164" i="1"/>
  <c r="F164" i="1"/>
  <c r="E164" i="1"/>
  <c r="D164" i="1"/>
  <c r="H102" i="1"/>
  <c r="G102" i="1"/>
  <c r="F102" i="1"/>
  <c r="E102" i="1"/>
  <c r="D102" i="1"/>
  <c r="H454" i="1"/>
  <c r="G454" i="1"/>
  <c r="F454" i="1"/>
  <c r="E454" i="1"/>
  <c r="D454" i="1"/>
  <c r="H366" i="1"/>
  <c r="G366" i="1"/>
  <c r="F366" i="1"/>
  <c r="E366" i="1"/>
  <c r="D366" i="1"/>
  <c r="H272" i="1"/>
  <c r="G272" i="1"/>
  <c r="F272" i="1"/>
  <c r="E272" i="1"/>
  <c r="D272" i="1"/>
  <c r="H161" i="1"/>
  <c r="G161" i="1"/>
  <c r="F161" i="1"/>
  <c r="E161" i="1"/>
  <c r="D161" i="1"/>
  <c r="H104" i="1"/>
  <c r="G104" i="1"/>
  <c r="F104" i="1"/>
  <c r="E104" i="1"/>
  <c r="D104" i="1"/>
  <c r="H440" i="1"/>
  <c r="G440" i="1"/>
  <c r="F440" i="1"/>
  <c r="E440" i="1"/>
  <c r="D440" i="1"/>
  <c r="H346" i="1"/>
  <c r="G346" i="1"/>
  <c r="F346" i="1"/>
  <c r="E346" i="1"/>
  <c r="D346" i="1"/>
  <c r="H221" i="1"/>
  <c r="G221" i="1"/>
  <c r="F221" i="1"/>
  <c r="E221" i="1"/>
  <c r="D221" i="1"/>
  <c r="H139" i="1"/>
  <c r="G139" i="1"/>
  <c r="F139" i="1"/>
  <c r="E139" i="1"/>
  <c r="D139" i="1"/>
  <c r="H41" i="1"/>
  <c r="G41" i="1"/>
  <c r="F41" i="1"/>
  <c r="E41" i="1"/>
  <c r="D41" i="1"/>
  <c r="H459" i="1"/>
  <c r="G459" i="1"/>
  <c r="F459" i="1"/>
  <c r="E459" i="1"/>
  <c r="D459" i="1"/>
  <c r="H368" i="1"/>
  <c r="G368" i="1"/>
  <c r="F368" i="1"/>
  <c r="E368" i="1"/>
  <c r="D368" i="1"/>
  <c r="H206" i="1"/>
  <c r="G206" i="1"/>
  <c r="F206" i="1"/>
  <c r="E206" i="1"/>
  <c r="D206" i="1"/>
  <c r="H10" i="1"/>
  <c r="G10" i="1"/>
  <c r="F10" i="1"/>
  <c r="E10" i="1"/>
  <c r="D10" i="1"/>
  <c r="H414" i="1"/>
  <c r="G414" i="1"/>
  <c r="F414" i="1"/>
  <c r="E414" i="1"/>
  <c r="D414" i="1"/>
  <c r="H389" i="1"/>
  <c r="G389" i="1"/>
  <c r="F389" i="1"/>
  <c r="E389" i="1"/>
  <c r="D389" i="1"/>
  <c r="H320" i="1"/>
  <c r="G320" i="1"/>
  <c r="F320" i="1"/>
  <c r="E320" i="1"/>
  <c r="D320" i="1"/>
  <c r="H306" i="1"/>
  <c r="G306" i="1"/>
  <c r="F306" i="1"/>
  <c r="E306" i="1"/>
  <c r="D306" i="1"/>
  <c r="H292" i="1"/>
  <c r="G292" i="1"/>
  <c r="F292" i="1"/>
  <c r="E292" i="1"/>
  <c r="D292" i="1"/>
  <c r="H236" i="1"/>
  <c r="G236" i="1"/>
  <c r="F236" i="1"/>
  <c r="E236" i="1"/>
  <c r="D236" i="1"/>
  <c r="H222" i="1"/>
  <c r="G222" i="1"/>
  <c r="F222" i="1"/>
  <c r="E222" i="1"/>
  <c r="D222" i="1"/>
  <c r="H211" i="1"/>
  <c r="G211" i="1"/>
  <c r="F211" i="1"/>
  <c r="E211" i="1"/>
  <c r="D211" i="1"/>
  <c r="H157" i="1"/>
  <c r="G157" i="1"/>
  <c r="F157" i="1"/>
  <c r="E157" i="1"/>
  <c r="D157" i="1"/>
  <c r="H127" i="1"/>
  <c r="G127" i="1"/>
  <c r="F127" i="1"/>
  <c r="E127" i="1"/>
  <c r="D127" i="1"/>
  <c r="H124" i="1"/>
  <c r="G124" i="1"/>
  <c r="F124" i="1"/>
  <c r="E124" i="1"/>
  <c r="D124" i="1"/>
  <c r="H99" i="1"/>
  <c r="G99" i="1"/>
  <c r="F99" i="1"/>
  <c r="E99" i="1"/>
  <c r="D99" i="1"/>
  <c r="H28" i="1"/>
  <c r="G28" i="1"/>
  <c r="F28" i="1"/>
  <c r="E28" i="1"/>
  <c r="D28" i="1"/>
  <c r="H78" i="1"/>
  <c r="G78" i="1"/>
  <c r="F78" i="1"/>
  <c r="E78" i="1"/>
  <c r="D78" i="1"/>
  <c r="H393" i="1"/>
  <c r="G393" i="1"/>
  <c r="F393" i="1"/>
  <c r="E393" i="1"/>
  <c r="D393" i="1"/>
  <c r="H295" i="1"/>
  <c r="G295" i="1"/>
  <c r="F295" i="1"/>
  <c r="E295" i="1"/>
  <c r="D295" i="1"/>
  <c r="H232" i="1"/>
  <c r="G232" i="1"/>
  <c r="F232" i="1"/>
  <c r="E232" i="1"/>
  <c r="D232" i="1"/>
  <c r="H147" i="1"/>
  <c r="G147" i="1"/>
  <c r="F147" i="1"/>
  <c r="E147" i="1"/>
  <c r="D147" i="1"/>
  <c r="H25" i="1"/>
  <c r="G25" i="1"/>
  <c r="F25" i="1"/>
  <c r="E25" i="1"/>
  <c r="D25" i="1"/>
  <c r="H311" i="1"/>
  <c r="G311" i="1"/>
  <c r="F311" i="1"/>
  <c r="E311" i="1"/>
  <c r="D311" i="1"/>
  <c r="H251" i="1"/>
  <c r="G251" i="1"/>
  <c r="F251" i="1"/>
  <c r="E251" i="1"/>
  <c r="D251" i="1"/>
  <c r="H159" i="1"/>
  <c r="G159" i="1"/>
  <c r="F159" i="1"/>
  <c r="E159" i="1"/>
  <c r="D159" i="1"/>
  <c r="H14" i="1"/>
  <c r="G14" i="1"/>
  <c r="F14" i="1"/>
  <c r="E14" i="1"/>
  <c r="D14" i="1"/>
  <c r="H418" i="1"/>
  <c r="G418" i="1"/>
  <c r="F418" i="1"/>
  <c r="E418" i="1"/>
  <c r="D418" i="1"/>
  <c r="H330" i="1"/>
  <c r="G330" i="1"/>
  <c r="F330" i="1"/>
  <c r="E330" i="1"/>
  <c r="D330" i="1"/>
  <c r="H252" i="1"/>
  <c r="G252" i="1"/>
  <c r="F252" i="1"/>
  <c r="E252" i="1"/>
  <c r="D252" i="1"/>
  <c r="H165" i="1"/>
  <c r="G165" i="1"/>
  <c r="F165" i="1"/>
  <c r="E165" i="1"/>
  <c r="D165" i="1"/>
  <c r="H89" i="1"/>
  <c r="G89" i="1"/>
  <c r="F89" i="1"/>
  <c r="E89" i="1"/>
  <c r="D89" i="1"/>
  <c r="H83" i="1"/>
  <c r="G83" i="1"/>
  <c r="F83" i="1"/>
  <c r="E83" i="1"/>
  <c r="D83" i="1"/>
  <c r="H461" i="1"/>
  <c r="G461" i="1"/>
  <c r="F461" i="1"/>
  <c r="E461" i="1"/>
  <c r="D461" i="1"/>
  <c r="H462" i="1"/>
  <c r="G462" i="1"/>
  <c r="F462" i="1"/>
  <c r="E462" i="1"/>
  <c r="D462" i="1"/>
  <c r="H452" i="1"/>
  <c r="G452" i="1"/>
  <c r="F452" i="1"/>
  <c r="E452" i="1"/>
  <c r="D452" i="1"/>
  <c r="H431" i="1"/>
  <c r="G431" i="1"/>
  <c r="F431" i="1"/>
  <c r="E431" i="1"/>
  <c r="D431" i="1"/>
  <c r="H399" i="1"/>
  <c r="G399" i="1"/>
  <c r="F399" i="1"/>
  <c r="E399" i="1"/>
  <c r="D399" i="1"/>
  <c r="H395" i="1"/>
  <c r="G395" i="1"/>
  <c r="F395" i="1"/>
  <c r="E395" i="1"/>
  <c r="D395" i="1"/>
  <c r="H383" i="1"/>
  <c r="G383" i="1"/>
  <c r="F383" i="1"/>
  <c r="E383" i="1"/>
  <c r="D383" i="1"/>
  <c r="H384" i="1"/>
  <c r="G384" i="1"/>
  <c r="F384" i="1"/>
  <c r="E384" i="1"/>
  <c r="D384" i="1"/>
  <c r="H348" i="1"/>
  <c r="G348" i="1"/>
  <c r="F348" i="1"/>
  <c r="E348" i="1"/>
  <c r="D348" i="1"/>
  <c r="H95" i="1"/>
  <c r="G95" i="1"/>
  <c r="F95" i="1"/>
  <c r="E95" i="1"/>
  <c r="D95" i="1"/>
  <c r="H20" i="1"/>
  <c r="G20" i="1"/>
  <c r="F20" i="1"/>
  <c r="E20" i="1"/>
  <c r="D20" i="1"/>
  <c r="H394" i="1"/>
  <c r="G394" i="1"/>
  <c r="F394" i="1"/>
  <c r="E394" i="1"/>
  <c r="D394" i="1"/>
  <c r="H299" i="1"/>
  <c r="G299" i="1"/>
  <c r="F299" i="1"/>
  <c r="E299" i="1"/>
  <c r="D299" i="1"/>
  <c r="H227" i="1"/>
  <c r="G227" i="1"/>
  <c r="F227" i="1"/>
  <c r="E227" i="1"/>
  <c r="D227" i="1"/>
  <c r="H128" i="1"/>
  <c r="G128" i="1"/>
  <c r="F128" i="1"/>
  <c r="E128" i="1"/>
  <c r="D128" i="1"/>
  <c r="H70" i="1"/>
  <c r="G70" i="1"/>
  <c r="F70" i="1"/>
  <c r="E70" i="1"/>
  <c r="D70" i="1"/>
  <c r="H343" i="1"/>
  <c r="G343" i="1"/>
  <c r="F343" i="1"/>
  <c r="E343" i="1"/>
  <c r="D343" i="1"/>
  <c r="H333" i="1"/>
  <c r="G333" i="1"/>
  <c r="F333" i="1"/>
  <c r="E333" i="1"/>
  <c r="D333" i="1"/>
  <c r="H309" i="1"/>
  <c r="G309" i="1"/>
  <c r="F309" i="1"/>
  <c r="E309" i="1"/>
  <c r="D309" i="1"/>
  <c r="H297" i="1"/>
  <c r="G297" i="1"/>
  <c r="F297" i="1"/>
  <c r="E297" i="1"/>
  <c r="D297" i="1"/>
  <c r="H284" i="1"/>
  <c r="G284" i="1"/>
  <c r="F284" i="1"/>
  <c r="E284" i="1"/>
  <c r="D284" i="1"/>
  <c r="H274" i="1"/>
  <c r="G274" i="1"/>
  <c r="F274" i="1"/>
  <c r="E274" i="1"/>
  <c r="D274" i="1"/>
  <c r="H269" i="1"/>
  <c r="G269" i="1"/>
  <c r="F269" i="1"/>
  <c r="E269" i="1"/>
  <c r="D269" i="1"/>
  <c r="H241" i="1"/>
  <c r="G241" i="1"/>
  <c r="F241" i="1"/>
  <c r="E241" i="1"/>
  <c r="D241" i="1"/>
  <c r="H234" i="1"/>
  <c r="G234" i="1"/>
  <c r="F234" i="1"/>
  <c r="E234" i="1"/>
  <c r="D234" i="1"/>
  <c r="H214" i="1"/>
  <c r="G214" i="1"/>
  <c r="F214" i="1"/>
  <c r="E214" i="1"/>
  <c r="D214" i="1"/>
  <c r="H204" i="1"/>
  <c r="G204" i="1"/>
  <c r="F204" i="1"/>
  <c r="E204" i="1"/>
  <c r="D204" i="1"/>
  <c r="H150" i="1"/>
  <c r="G150" i="1"/>
  <c r="F150" i="1"/>
  <c r="E150" i="1"/>
  <c r="D150" i="1"/>
  <c r="H158" i="1"/>
  <c r="G158" i="1"/>
  <c r="F158" i="1"/>
  <c r="E158" i="1"/>
  <c r="D158" i="1"/>
  <c r="H176" i="1"/>
  <c r="G176" i="1"/>
  <c r="F176" i="1"/>
  <c r="E176" i="1"/>
  <c r="D176" i="1"/>
  <c r="H122" i="1"/>
  <c r="G122" i="1"/>
  <c r="F122" i="1"/>
  <c r="E122" i="1"/>
  <c r="D122" i="1"/>
  <c r="H118" i="1"/>
  <c r="G118" i="1"/>
  <c r="F118" i="1"/>
  <c r="E118" i="1"/>
  <c r="D118" i="1"/>
  <c r="H120" i="1"/>
  <c r="G120" i="1"/>
  <c r="F120" i="1"/>
  <c r="E120" i="1"/>
  <c r="D120" i="1"/>
  <c r="H106" i="1"/>
  <c r="G106" i="1"/>
  <c r="F106" i="1"/>
  <c r="E106" i="1"/>
  <c r="D106" i="1"/>
  <c r="H11" i="1"/>
  <c r="G11" i="1"/>
  <c r="F11" i="1"/>
  <c r="E11" i="1"/>
  <c r="D11" i="1"/>
  <c r="H57" i="1"/>
  <c r="G57" i="1"/>
  <c r="F57" i="1"/>
  <c r="E57" i="1"/>
  <c r="D57" i="1"/>
  <c r="H80" i="1"/>
  <c r="G80" i="1"/>
  <c r="F80" i="1"/>
  <c r="E80" i="1"/>
  <c r="D80" i="1"/>
  <c r="H458" i="1"/>
  <c r="G458" i="1"/>
  <c r="F458" i="1"/>
  <c r="E458" i="1"/>
  <c r="D458" i="1"/>
  <c r="H385" i="1"/>
  <c r="G385" i="1"/>
  <c r="F385" i="1"/>
  <c r="E385" i="1"/>
  <c r="D385" i="1"/>
  <c r="H290" i="1"/>
  <c r="G290" i="1"/>
  <c r="F290" i="1"/>
  <c r="E290" i="1"/>
  <c r="D290" i="1"/>
  <c r="H178" i="1"/>
  <c r="G178" i="1"/>
  <c r="F178" i="1"/>
  <c r="E178" i="1"/>
  <c r="D178" i="1"/>
  <c r="H61" i="1"/>
  <c r="G61" i="1"/>
  <c r="F61" i="1"/>
  <c r="E61" i="1"/>
  <c r="D61" i="1"/>
  <c r="H444" i="1"/>
  <c r="G444" i="1"/>
  <c r="F444" i="1"/>
  <c r="E444" i="1"/>
  <c r="D444" i="1"/>
  <c r="H401" i="1"/>
  <c r="G401" i="1"/>
  <c r="F401" i="1"/>
  <c r="E401" i="1"/>
  <c r="D401" i="1"/>
  <c r="H369" i="1"/>
  <c r="G369" i="1"/>
  <c r="F369" i="1"/>
  <c r="E369" i="1"/>
  <c r="D369" i="1"/>
  <c r="H302" i="1"/>
  <c r="G302" i="1"/>
  <c r="F302" i="1"/>
  <c r="E302" i="1"/>
  <c r="D302" i="1"/>
  <c r="H239" i="1"/>
  <c r="G239" i="1"/>
  <c r="F239" i="1"/>
  <c r="E239" i="1"/>
  <c r="D239" i="1"/>
  <c r="H219" i="1"/>
  <c r="G219" i="1"/>
  <c r="F219" i="1"/>
  <c r="E219" i="1"/>
  <c r="D219" i="1"/>
  <c r="H169" i="1"/>
  <c r="G169" i="1"/>
  <c r="F169" i="1"/>
  <c r="E169" i="1"/>
  <c r="D169" i="1"/>
  <c r="H109" i="1"/>
  <c r="G109" i="1"/>
  <c r="F109" i="1"/>
  <c r="E109" i="1"/>
  <c r="D109" i="1"/>
  <c r="H63" i="1"/>
  <c r="G63" i="1"/>
  <c r="F63" i="1"/>
  <c r="E63" i="1"/>
  <c r="D63" i="1"/>
  <c r="H26" i="1"/>
  <c r="G26" i="1"/>
  <c r="F26" i="1"/>
  <c r="E26" i="1"/>
  <c r="D26" i="1"/>
  <c r="H426" i="1"/>
  <c r="G426" i="1"/>
  <c r="F426" i="1"/>
  <c r="E426" i="1"/>
  <c r="D426" i="1"/>
  <c r="H358" i="1"/>
  <c r="G358" i="1"/>
  <c r="F358" i="1"/>
  <c r="E358" i="1"/>
  <c r="D358" i="1"/>
  <c r="H195" i="1"/>
  <c r="G195" i="1"/>
  <c r="F195" i="1"/>
  <c r="E195" i="1"/>
  <c r="D195" i="1"/>
  <c r="H56" i="1"/>
  <c r="G56" i="1"/>
  <c r="F56" i="1"/>
  <c r="E56" i="1"/>
  <c r="D56" i="1"/>
  <c r="H456" i="1"/>
  <c r="G456" i="1"/>
  <c r="F456" i="1"/>
  <c r="E456" i="1"/>
  <c r="D456" i="1"/>
  <c r="H356" i="1"/>
  <c r="G356" i="1"/>
  <c r="F356" i="1"/>
  <c r="E356" i="1"/>
  <c r="D356" i="1"/>
  <c r="H238" i="1"/>
  <c r="G238" i="1"/>
  <c r="F238" i="1"/>
  <c r="E238" i="1"/>
  <c r="D238" i="1"/>
  <c r="H148" i="1"/>
  <c r="G148" i="1"/>
  <c r="F148" i="1"/>
  <c r="E148" i="1"/>
  <c r="D148" i="1"/>
  <c r="H30" i="1"/>
  <c r="G30" i="1"/>
  <c r="F30" i="1"/>
  <c r="E30" i="1"/>
  <c r="D30" i="1"/>
  <c r="H22" i="1"/>
  <c r="G22" i="1"/>
  <c r="F22" i="1"/>
  <c r="E22" i="1"/>
  <c r="D22" i="1"/>
  <c r="H50" i="1"/>
  <c r="G50" i="1"/>
  <c r="F50" i="1"/>
  <c r="E50" i="1"/>
  <c r="D50" i="1"/>
  <c r="H437" i="1"/>
  <c r="G437" i="1"/>
  <c r="F437" i="1"/>
  <c r="E437" i="1"/>
  <c r="D437" i="1"/>
  <c r="H425" i="1"/>
  <c r="G425" i="1"/>
  <c r="F425" i="1"/>
  <c r="E425" i="1"/>
  <c r="D425" i="1"/>
  <c r="H400" i="1"/>
  <c r="G400" i="1"/>
  <c r="F400" i="1"/>
  <c r="E400" i="1"/>
  <c r="D400" i="1"/>
  <c r="H387" i="1"/>
  <c r="G387" i="1"/>
  <c r="F387" i="1"/>
  <c r="E387" i="1"/>
  <c r="D387" i="1"/>
  <c r="H361" i="1"/>
  <c r="G361" i="1"/>
  <c r="F361" i="1"/>
  <c r="E361" i="1"/>
  <c r="D361" i="1"/>
  <c r="H344" i="1"/>
  <c r="G344" i="1"/>
  <c r="F344" i="1"/>
  <c r="E344" i="1"/>
  <c r="D344" i="1"/>
  <c r="H303" i="1"/>
  <c r="G303" i="1"/>
  <c r="F303" i="1"/>
  <c r="E303" i="1"/>
  <c r="D303" i="1"/>
  <c r="H305" i="1"/>
  <c r="G305" i="1"/>
  <c r="F305" i="1"/>
  <c r="E305" i="1"/>
  <c r="D305" i="1"/>
  <c r="H279" i="1"/>
  <c r="G279" i="1"/>
  <c r="F279" i="1"/>
  <c r="E279" i="1"/>
  <c r="D279" i="1"/>
  <c r="H237" i="1"/>
  <c r="G237" i="1"/>
  <c r="F237" i="1"/>
  <c r="E237" i="1"/>
  <c r="D237" i="1"/>
  <c r="H244" i="1"/>
  <c r="G244" i="1"/>
  <c r="F244" i="1"/>
  <c r="E244" i="1"/>
  <c r="D244" i="1"/>
  <c r="H229" i="1"/>
  <c r="G229" i="1"/>
  <c r="F229" i="1"/>
  <c r="E229" i="1"/>
  <c r="D229" i="1"/>
  <c r="H208" i="1"/>
  <c r="G208" i="1"/>
  <c r="F208" i="1"/>
  <c r="E208" i="1"/>
  <c r="D208" i="1"/>
  <c r="H174" i="1"/>
  <c r="G174" i="1"/>
  <c r="F174" i="1"/>
  <c r="E174" i="1"/>
  <c r="D174" i="1"/>
  <c r="H142" i="1"/>
  <c r="G142" i="1"/>
  <c r="F142" i="1"/>
  <c r="E142" i="1"/>
  <c r="D142" i="1"/>
  <c r="H138" i="1"/>
  <c r="G138" i="1"/>
  <c r="F138" i="1"/>
  <c r="E138" i="1"/>
  <c r="D138" i="1"/>
  <c r="H137" i="1"/>
  <c r="G137" i="1"/>
  <c r="F137" i="1"/>
  <c r="E137" i="1"/>
  <c r="D137" i="1"/>
  <c r="H113" i="1"/>
  <c r="G113" i="1"/>
  <c r="F113" i="1"/>
  <c r="E113" i="1"/>
  <c r="D113" i="1"/>
  <c r="H7" i="1"/>
  <c r="G7" i="1"/>
  <c r="F7" i="1"/>
  <c r="E7" i="1"/>
  <c r="D7" i="1"/>
  <c r="H29" i="1"/>
  <c r="G29" i="1"/>
  <c r="F29" i="1"/>
  <c r="E29" i="1"/>
  <c r="D29" i="1"/>
  <c r="H59" i="1"/>
  <c r="G59" i="1"/>
  <c r="F59" i="1"/>
  <c r="E59" i="1"/>
  <c r="D59" i="1"/>
  <c r="H77" i="1"/>
  <c r="G77" i="1"/>
  <c r="F77" i="1"/>
  <c r="E77" i="1"/>
  <c r="D77" i="1"/>
  <c r="H419" i="1"/>
  <c r="G419" i="1"/>
  <c r="F419" i="1"/>
  <c r="E419" i="1"/>
  <c r="D419" i="1"/>
  <c r="H409" i="1"/>
  <c r="G409" i="1"/>
  <c r="F409" i="1"/>
  <c r="E409" i="1"/>
  <c r="D409" i="1"/>
  <c r="H376" i="1"/>
  <c r="G376" i="1"/>
  <c r="F376" i="1"/>
  <c r="E376" i="1"/>
  <c r="D376" i="1"/>
  <c r="H363" i="1"/>
  <c r="G363" i="1"/>
  <c r="F363" i="1"/>
  <c r="E363" i="1"/>
  <c r="D363" i="1"/>
  <c r="H332" i="1"/>
  <c r="G332" i="1"/>
  <c r="F332" i="1"/>
  <c r="E332" i="1"/>
  <c r="D332" i="1"/>
  <c r="H273" i="1"/>
  <c r="G273" i="1"/>
  <c r="F273" i="1"/>
  <c r="E273" i="1"/>
  <c r="D273" i="1"/>
  <c r="H267" i="1"/>
  <c r="G267" i="1"/>
  <c r="F267" i="1"/>
  <c r="E267" i="1"/>
  <c r="D267" i="1"/>
  <c r="H264" i="1"/>
  <c r="G264" i="1"/>
  <c r="F264" i="1"/>
  <c r="E264" i="1"/>
  <c r="D264" i="1"/>
  <c r="H186" i="1"/>
  <c r="G186" i="1"/>
  <c r="F186" i="1"/>
  <c r="E186" i="1"/>
  <c r="D186" i="1"/>
  <c r="H144" i="1"/>
  <c r="G144" i="1"/>
  <c r="F144" i="1"/>
  <c r="E144" i="1"/>
  <c r="D144" i="1"/>
  <c r="H168" i="1"/>
  <c r="G168" i="1"/>
  <c r="F168" i="1"/>
  <c r="E168" i="1"/>
  <c r="D168" i="1"/>
  <c r="H32" i="1"/>
  <c r="G32" i="1"/>
  <c r="F32" i="1"/>
  <c r="E32" i="1"/>
  <c r="D32" i="1"/>
  <c r="H9" i="1"/>
  <c r="G9" i="1"/>
  <c r="F9" i="1"/>
  <c r="E9" i="1"/>
  <c r="D9" i="1"/>
  <c r="H405" i="1"/>
  <c r="G405" i="1"/>
  <c r="F405" i="1"/>
  <c r="E405" i="1"/>
  <c r="D405" i="1"/>
  <c r="H318" i="1"/>
  <c r="G318" i="1"/>
  <c r="F318" i="1"/>
  <c r="E318" i="1"/>
  <c r="D318" i="1"/>
  <c r="H209" i="1"/>
  <c r="G209" i="1"/>
  <c r="F209" i="1"/>
  <c r="E209" i="1"/>
  <c r="D209" i="1"/>
  <c r="H112" i="1"/>
  <c r="G112" i="1"/>
  <c r="F112" i="1"/>
  <c r="E112" i="1"/>
  <c r="D112" i="1"/>
  <c r="H42" i="1"/>
  <c r="G42" i="1"/>
  <c r="F42" i="1"/>
  <c r="E42" i="1"/>
  <c r="D42" i="1"/>
  <c r="H69" i="1"/>
  <c r="G69" i="1"/>
  <c r="F69" i="1"/>
  <c r="E69" i="1"/>
  <c r="D69" i="1"/>
  <c r="H457" i="1"/>
  <c r="G457" i="1"/>
  <c r="F457" i="1"/>
  <c r="E457" i="1"/>
  <c r="D457" i="1"/>
  <c r="H396" i="1"/>
  <c r="G396" i="1"/>
  <c r="F396" i="1"/>
  <c r="E396" i="1"/>
  <c r="D396" i="1"/>
  <c r="H415" i="1"/>
  <c r="G415" i="1"/>
  <c r="F415" i="1"/>
  <c r="E415" i="1"/>
  <c r="D415" i="1"/>
  <c r="H413" i="1"/>
  <c r="G413" i="1"/>
  <c r="F413" i="1"/>
  <c r="E413" i="1"/>
  <c r="D413" i="1"/>
  <c r="H371" i="1"/>
  <c r="G371" i="1"/>
  <c r="F371" i="1"/>
  <c r="E371" i="1"/>
  <c r="D371" i="1"/>
  <c r="H340" i="1"/>
  <c r="G340" i="1"/>
  <c r="F340" i="1"/>
  <c r="E340" i="1"/>
  <c r="D340" i="1"/>
  <c r="H347" i="1"/>
  <c r="G347" i="1"/>
  <c r="F347" i="1"/>
  <c r="E347" i="1"/>
  <c r="D347" i="1"/>
  <c r="H316" i="1"/>
  <c r="G316" i="1"/>
  <c r="F316" i="1"/>
  <c r="E316" i="1"/>
  <c r="D316" i="1"/>
  <c r="H259" i="1"/>
  <c r="G259" i="1"/>
  <c r="F259" i="1"/>
  <c r="E259" i="1"/>
  <c r="D259" i="1"/>
  <c r="H230" i="1"/>
  <c r="G230" i="1"/>
  <c r="F230" i="1"/>
  <c r="E230" i="1"/>
  <c r="D230" i="1"/>
  <c r="H224" i="1"/>
  <c r="G224" i="1"/>
  <c r="F224" i="1"/>
  <c r="E224" i="1"/>
  <c r="D224" i="1"/>
  <c r="H199" i="1"/>
  <c r="G199" i="1"/>
  <c r="F199" i="1"/>
  <c r="E199" i="1"/>
  <c r="D199" i="1"/>
  <c r="H173" i="1"/>
  <c r="G173" i="1"/>
  <c r="F173" i="1"/>
  <c r="E173" i="1"/>
  <c r="D173" i="1"/>
  <c r="H133" i="1"/>
  <c r="G133" i="1"/>
  <c r="F133" i="1"/>
  <c r="E133" i="1"/>
  <c r="D133" i="1"/>
  <c r="H131" i="1"/>
  <c r="G131" i="1"/>
  <c r="F131" i="1"/>
  <c r="E131" i="1"/>
  <c r="D131" i="1"/>
  <c r="H47" i="1"/>
  <c r="G47" i="1"/>
  <c r="F47" i="1"/>
  <c r="E47" i="1"/>
  <c r="D47" i="1"/>
  <c r="H94" i="1"/>
  <c r="G94" i="1"/>
  <c r="F94" i="1"/>
  <c r="E94" i="1"/>
  <c r="D94" i="1"/>
  <c r="H66" i="1"/>
  <c r="G66" i="1"/>
  <c r="F66" i="1"/>
  <c r="E66" i="1"/>
  <c r="D66" i="1"/>
  <c r="H18" i="1"/>
  <c r="G18" i="1"/>
  <c r="F18" i="1"/>
  <c r="E18" i="1"/>
  <c r="D18" i="1"/>
  <c r="H58" i="1"/>
  <c r="G58" i="1"/>
  <c r="F58" i="1"/>
  <c r="E58" i="1"/>
  <c r="D58" i="1"/>
  <c r="H430" i="1"/>
  <c r="G430" i="1"/>
  <c r="F430" i="1"/>
  <c r="E430" i="1"/>
  <c r="D430" i="1"/>
  <c r="H411" i="1"/>
  <c r="G411" i="1"/>
  <c r="F411" i="1"/>
  <c r="E411" i="1"/>
  <c r="D411" i="1"/>
  <c r="H427" i="1"/>
  <c r="G427" i="1"/>
  <c r="F427" i="1"/>
  <c r="E427" i="1"/>
  <c r="D427" i="1"/>
  <c r="H342" i="1"/>
  <c r="G342" i="1"/>
  <c r="F342" i="1"/>
  <c r="E342" i="1"/>
  <c r="D342" i="1"/>
  <c r="H327" i="1"/>
  <c r="G327" i="1"/>
  <c r="F327" i="1"/>
  <c r="E327" i="1"/>
  <c r="D327" i="1"/>
  <c r="H317" i="1"/>
  <c r="G317" i="1"/>
  <c r="F317" i="1"/>
  <c r="E317" i="1"/>
  <c r="D317" i="1"/>
  <c r="H310" i="1"/>
  <c r="G310" i="1"/>
  <c r="F310" i="1"/>
  <c r="E310" i="1"/>
  <c r="D310" i="1"/>
  <c r="H298" i="1"/>
  <c r="G298" i="1"/>
  <c r="F298" i="1"/>
  <c r="E298" i="1"/>
  <c r="D298" i="1"/>
  <c r="H247" i="1"/>
  <c r="G247" i="1"/>
  <c r="F247" i="1"/>
  <c r="E247" i="1"/>
  <c r="D247" i="1"/>
  <c r="H246" i="1"/>
  <c r="G246" i="1"/>
  <c r="F246" i="1"/>
  <c r="E246" i="1"/>
  <c r="D246" i="1"/>
  <c r="H228" i="1"/>
  <c r="G228" i="1"/>
  <c r="F228" i="1"/>
  <c r="E228" i="1"/>
  <c r="D228" i="1"/>
  <c r="H215" i="1"/>
  <c r="G215" i="1"/>
  <c r="F215" i="1"/>
  <c r="E215" i="1"/>
  <c r="D215" i="1"/>
  <c r="H203" i="1"/>
  <c r="G203" i="1"/>
  <c r="F203" i="1"/>
  <c r="E203" i="1"/>
  <c r="D203" i="1"/>
  <c r="H130" i="1"/>
  <c r="G130" i="1"/>
  <c r="F130" i="1"/>
  <c r="E130" i="1"/>
  <c r="D130" i="1"/>
  <c r="H145" i="1"/>
  <c r="G145" i="1"/>
  <c r="F145" i="1"/>
  <c r="E145" i="1"/>
  <c r="D145" i="1"/>
  <c r="H117" i="1"/>
  <c r="G117" i="1"/>
  <c r="F117" i="1"/>
  <c r="E117" i="1"/>
  <c r="D117" i="1"/>
  <c r="H111" i="1"/>
  <c r="G111" i="1"/>
  <c r="F111" i="1"/>
  <c r="E111" i="1"/>
  <c r="D111" i="1"/>
  <c r="H85" i="1"/>
  <c r="G85" i="1"/>
  <c r="F85" i="1"/>
  <c r="E85" i="1"/>
  <c r="D85" i="1"/>
  <c r="H79" i="1"/>
  <c r="G79" i="1"/>
  <c r="F79" i="1"/>
  <c r="E79" i="1"/>
  <c r="D79" i="1"/>
  <c r="H34" i="1"/>
  <c r="G34" i="1"/>
  <c r="F34" i="1"/>
  <c r="E34" i="1"/>
  <c r="D34" i="1"/>
  <c r="H374" i="1"/>
  <c r="G374" i="1"/>
  <c r="F374" i="1"/>
  <c r="E374" i="1"/>
  <c r="D374" i="1"/>
  <c r="H382" i="1"/>
  <c r="G382" i="1"/>
  <c r="F382" i="1"/>
  <c r="E382" i="1"/>
  <c r="D382" i="1"/>
  <c r="H280" i="1"/>
  <c r="G280" i="1"/>
  <c r="F280" i="1"/>
  <c r="E280" i="1"/>
  <c r="D280" i="1"/>
  <c r="H278" i="1"/>
  <c r="G278" i="1"/>
  <c r="F278" i="1"/>
  <c r="E278" i="1"/>
  <c r="D278" i="1"/>
  <c r="H192" i="1"/>
  <c r="G192" i="1"/>
  <c r="F192" i="1"/>
  <c r="E192" i="1"/>
  <c r="D192" i="1"/>
  <c r="H149" i="1"/>
  <c r="G149" i="1"/>
  <c r="F149" i="1"/>
  <c r="E149" i="1"/>
  <c r="D149" i="1"/>
  <c r="H103" i="1"/>
  <c r="G103" i="1"/>
  <c r="F103" i="1"/>
  <c r="E103" i="1"/>
  <c r="D103" i="1"/>
  <c r="H54" i="1"/>
  <c r="G54" i="1"/>
  <c r="F54" i="1"/>
  <c r="E54" i="1"/>
  <c r="D54" i="1"/>
  <c r="H73" i="1"/>
  <c r="G73" i="1"/>
  <c r="F73" i="1"/>
  <c r="E73" i="1"/>
  <c r="D73" i="1"/>
  <c r="H75" i="1"/>
  <c r="G75" i="1"/>
  <c r="F75" i="1"/>
  <c r="E75" i="1"/>
  <c r="D75" i="1"/>
  <c r="H442" i="1"/>
  <c r="G442" i="1"/>
  <c r="F442" i="1"/>
  <c r="E442" i="1"/>
  <c r="D442" i="1"/>
  <c r="H417" i="1"/>
  <c r="G417" i="1"/>
  <c r="F417" i="1"/>
  <c r="E417" i="1"/>
  <c r="D417" i="1"/>
  <c r="H412" i="1"/>
  <c r="G412" i="1"/>
  <c r="F412" i="1"/>
  <c r="E412" i="1"/>
  <c r="D412" i="1"/>
  <c r="H423" i="1"/>
  <c r="G423" i="1"/>
  <c r="F423" i="1"/>
  <c r="E423" i="1"/>
  <c r="D423" i="1"/>
  <c r="H403" i="1"/>
  <c r="G403" i="1"/>
  <c r="F403" i="1"/>
  <c r="E403" i="1"/>
  <c r="D403" i="1"/>
  <c r="H378" i="1"/>
  <c r="G378" i="1"/>
  <c r="F378" i="1"/>
  <c r="E378" i="1"/>
  <c r="D378" i="1"/>
  <c r="H373" i="1"/>
  <c r="G373" i="1"/>
  <c r="F373" i="1"/>
  <c r="E373" i="1"/>
  <c r="D373" i="1"/>
  <c r="H331" i="1"/>
  <c r="G331" i="1"/>
  <c r="F331" i="1"/>
  <c r="E331" i="1"/>
  <c r="D331" i="1"/>
  <c r="H328" i="1"/>
  <c r="G328" i="1"/>
  <c r="F328" i="1"/>
  <c r="E328" i="1"/>
  <c r="D328" i="1"/>
  <c r="H312" i="1"/>
  <c r="G312" i="1"/>
  <c r="F312" i="1"/>
  <c r="E312" i="1"/>
  <c r="D312" i="1"/>
  <c r="H291" i="1"/>
  <c r="G291" i="1"/>
  <c r="F291" i="1"/>
  <c r="E291" i="1"/>
  <c r="D291" i="1"/>
  <c r="H285" i="1"/>
  <c r="G285" i="1"/>
  <c r="F285" i="1"/>
  <c r="E285" i="1"/>
  <c r="D285" i="1"/>
  <c r="H268" i="1"/>
  <c r="G268" i="1"/>
  <c r="F268" i="1"/>
  <c r="E268" i="1"/>
  <c r="D268" i="1"/>
  <c r="H242" i="1"/>
  <c r="G242" i="1"/>
  <c r="F242" i="1"/>
  <c r="E242" i="1"/>
  <c r="D242" i="1"/>
  <c r="H212" i="1"/>
  <c r="G212" i="1"/>
  <c r="F212" i="1"/>
  <c r="E212" i="1"/>
  <c r="D212" i="1"/>
  <c r="H184" i="1"/>
  <c r="G184" i="1"/>
  <c r="F184" i="1"/>
  <c r="E184" i="1"/>
  <c r="D184" i="1"/>
  <c r="H190" i="1"/>
  <c r="G190" i="1"/>
  <c r="F190" i="1"/>
  <c r="E190" i="1"/>
  <c r="D190" i="1"/>
  <c r="H181" i="1"/>
  <c r="G181" i="1"/>
  <c r="F181" i="1"/>
  <c r="E181" i="1"/>
  <c r="D181" i="1"/>
  <c r="H182" i="1"/>
  <c r="G182" i="1"/>
  <c r="F182" i="1"/>
  <c r="E182" i="1"/>
  <c r="D182" i="1"/>
  <c r="H132" i="1"/>
  <c r="G132" i="1"/>
  <c r="F132" i="1"/>
  <c r="E132" i="1"/>
  <c r="D132" i="1"/>
  <c r="H108" i="1"/>
  <c r="G108" i="1"/>
  <c r="F108" i="1"/>
  <c r="E108" i="1"/>
  <c r="D108" i="1"/>
  <c r="H98" i="1"/>
  <c r="G98" i="1"/>
  <c r="F98" i="1"/>
  <c r="E98" i="1"/>
  <c r="D98" i="1"/>
  <c r="H24" i="1"/>
  <c r="G24" i="1"/>
  <c r="F24" i="1"/>
  <c r="E24" i="1"/>
  <c r="D24" i="1"/>
  <c r="H45" i="1"/>
  <c r="G45" i="1"/>
  <c r="F45" i="1"/>
  <c r="E45" i="1"/>
  <c r="D45" i="1"/>
  <c r="H100" i="1"/>
  <c r="G100" i="1"/>
  <c r="F100" i="1"/>
  <c r="E100" i="1"/>
  <c r="D100" i="1"/>
  <c r="H88" i="1"/>
  <c r="G88" i="1"/>
  <c r="F88" i="1"/>
  <c r="E88" i="1"/>
  <c r="D88" i="1"/>
  <c r="H432" i="1"/>
  <c r="G432" i="1"/>
  <c r="F432" i="1"/>
  <c r="E432" i="1"/>
  <c r="D432" i="1"/>
  <c r="H420" i="1"/>
  <c r="G420" i="1"/>
  <c r="F420" i="1"/>
  <c r="E420" i="1"/>
  <c r="D420" i="1"/>
  <c r="H386" i="1"/>
  <c r="G386" i="1"/>
  <c r="F386" i="1"/>
  <c r="E386" i="1"/>
  <c r="D386" i="1"/>
  <c r="H334" i="1"/>
  <c r="G334" i="1"/>
  <c r="F334" i="1"/>
  <c r="E334" i="1"/>
  <c r="D334" i="1"/>
  <c r="H325" i="1"/>
  <c r="G325" i="1"/>
  <c r="F325" i="1"/>
  <c r="E325" i="1"/>
  <c r="D325" i="1"/>
  <c r="H282" i="1"/>
  <c r="G282" i="1"/>
  <c r="F282" i="1"/>
  <c r="E282" i="1"/>
  <c r="D282" i="1"/>
  <c r="H263" i="1"/>
  <c r="G263" i="1"/>
  <c r="F263" i="1"/>
  <c r="E263" i="1"/>
  <c r="D263" i="1"/>
  <c r="H250" i="1"/>
  <c r="G250" i="1"/>
  <c r="F250" i="1"/>
  <c r="E250" i="1"/>
  <c r="D250" i="1"/>
  <c r="H193" i="1"/>
  <c r="G193" i="1"/>
  <c r="F193" i="1"/>
  <c r="E193" i="1"/>
  <c r="D193" i="1"/>
  <c r="H171" i="1"/>
  <c r="G171" i="1"/>
  <c r="F171" i="1"/>
  <c r="E171" i="1"/>
  <c r="D171" i="1"/>
  <c r="H141" i="1"/>
  <c r="G141" i="1"/>
  <c r="F141" i="1"/>
  <c r="E141" i="1"/>
  <c r="D141" i="1"/>
  <c r="H86" i="1"/>
  <c r="G86" i="1"/>
  <c r="F86" i="1"/>
  <c r="E86" i="1"/>
  <c r="D86" i="1"/>
  <c r="H81" i="1"/>
  <c r="G81" i="1"/>
  <c r="F81" i="1"/>
  <c r="E81" i="1"/>
  <c r="D81" i="1"/>
  <c r="H451" i="1"/>
  <c r="G451" i="1"/>
  <c r="F451" i="1"/>
  <c r="E451" i="1"/>
  <c r="D451" i="1"/>
  <c r="H460" i="1"/>
  <c r="G460" i="1"/>
  <c r="F460" i="1"/>
  <c r="E460" i="1"/>
  <c r="D460" i="1"/>
  <c r="H424" i="1"/>
  <c r="G424" i="1"/>
  <c r="F424" i="1"/>
  <c r="E424" i="1"/>
  <c r="D424" i="1"/>
  <c r="H408" i="1"/>
  <c r="G408" i="1"/>
  <c r="F408" i="1"/>
  <c r="E408" i="1"/>
  <c r="D408" i="1"/>
  <c r="H379" i="1"/>
  <c r="G379" i="1"/>
  <c r="F379" i="1"/>
  <c r="E379" i="1"/>
  <c r="D379" i="1"/>
  <c r="H353" i="1"/>
  <c r="G353" i="1"/>
  <c r="F353" i="1"/>
  <c r="E353" i="1"/>
  <c r="D353" i="1"/>
  <c r="H345" i="1"/>
  <c r="G345" i="1"/>
  <c r="F345" i="1"/>
  <c r="E345" i="1"/>
  <c r="D345" i="1"/>
  <c r="H341" i="1"/>
  <c r="G341" i="1"/>
  <c r="F341" i="1"/>
  <c r="E341" i="1"/>
  <c r="D341" i="1"/>
  <c r="H307" i="1"/>
  <c r="G307" i="1"/>
  <c r="F307" i="1"/>
  <c r="E307" i="1"/>
  <c r="D307" i="1"/>
  <c r="H314" i="1"/>
  <c r="G314" i="1"/>
  <c r="F314" i="1"/>
  <c r="E314" i="1"/>
  <c r="D314" i="1"/>
  <c r="H293" i="1"/>
  <c r="G293" i="1"/>
  <c r="F293" i="1"/>
  <c r="E293" i="1"/>
  <c r="D293" i="1"/>
  <c r="H281" i="1"/>
  <c r="G281" i="1"/>
  <c r="F281" i="1"/>
  <c r="E281" i="1"/>
  <c r="D281" i="1"/>
  <c r="H253" i="1"/>
  <c r="G253" i="1"/>
  <c r="F253" i="1"/>
  <c r="E253" i="1"/>
  <c r="D253" i="1"/>
  <c r="H231" i="1"/>
  <c r="G231" i="1"/>
  <c r="F231" i="1"/>
  <c r="E231" i="1"/>
  <c r="D231" i="1"/>
  <c r="H218" i="1"/>
  <c r="G218" i="1"/>
  <c r="F218" i="1"/>
  <c r="E218" i="1"/>
  <c r="D218" i="1"/>
  <c r="H210" i="1"/>
  <c r="G210" i="1"/>
  <c r="F210" i="1"/>
  <c r="E210" i="1"/>
  <c r="D210" i="1"/>
  <c r="H201" i="1"/>
  <c r="G201" i="1"/>
  <c r="F201" i="1"/>
  <c r="E201" i="1"/>
  <c r="D201" i="1"/>
  <c r="H200" i="1"/>
  <c r="G200" i="1"/>
  <c r="F200" i="1"/>
  <c r="E200" i="1"/>
  <c r="D200" i="1"/>
  <c r="H175" i="1"/>
  <c r="G175" i="1"/>
  <c r="F175" i="1"/>
  <c r="E175" i="1"/>
  <c r="D175" i="1"/>
  <c r="H172" i="1"/>
  <c r="G172" i="1"/>
  <c r="F172" i="1"/>
  <c r="E172" i="1"/>
  <c r="D172" i="1"/>
  <c r="H126" i="1"/>
  <c r="G126" i="1"/>
  <c r="F126" i="1"/>
  <c r="E126" i="1"/>
  <c r="D126" i="1"/>
  <c r="H119" i="1"/>
  <c r="G119" i="1"/>
  <c r="F119" i="1"/>
  <c r="E119" i="1"/>
  <c r="D119" i="1"/>
  <c r="H116" i="1"/>
  <c r="G116" i="1"/>
  <c r="F116" i="1"/>
  <c r="E116" i="1"/>
  <c r="D116" i="1"/>
  <c r="H71" i="1"/>
  <c r="G71" i="1"/>
  <c r="F71" i="1"/>
  <c r="E71" i="1"/>
  <c r="D71" i="1"/>
  <c r="H67" i="1"/>
  <c r="G67" i="1"/>
  <c r="F67" i="1"/>
  <c r="E67" i="1"/>
  <c r="D67" i="1"/>
  <c r="H21" i="1"/>
  <c r="G21" i="1"/>
  <c r="F21" i="1"/>
  <c r="E21" i="1"/>
  <c r="D21" i="1"/>
  <c r="H23" i="1"/>
  <c r="G23" i="1"/>
  <c r="F23" i="1"/>
  <c r="E23" i="1"/>
  <c r="D23" i="1"/>
  <c r="H62" i="1"/>
  <c r="G62" i="1"/>
  <c r="F62" i="1"/>
  <c r="E62" i="1"/>
  <c r="D62" i="1"/>
  <c r="H46" i="1"/>
  <c r="G46" i="1"/>
  <c r="F46" i="1"/>
  <c r="E46" i="1"/>
  <c r="D46" i="1"/>
  <c r="H438" i="1"/>
  <c r="G438" i="1"/>
  <c r="F438" i="1"/>
  <c r="E438" i="1"/>
  <c r="D438" i="1"/>
  <c r="H447" i="1"/>
  <c r="G447" i="1"/>
  <c r="F447" i="1"/>
  <c r="E447" i="1"/>
  <c r="D447" i="1"/>
  <c r="H455" i="1"/>
  <c r="G455" i="1"/>
  <c r="F455" i="1"/>
  <c r="E455" i="1"/>
  <c r="D455" i="1"/>
  <c r="H422" i="1"/>
  <c r="G422" i="1"/>
  <c r="F422" i="1"/>
  <c r="E422" i="1"/>
  <c r="D422" i="1"/>
  <c r="H434" i="1"/>
  <c r="G434" i="1"/>
  <c r="F434" i="1"/>
  <c r="E434" i="1"/>
  <c r="D434" i="1"/>
  <c r="H402" i="1"/>
  <c r="G402" i="1"/>
  <c r="F402" i="1"/>
  <c r="E402" i="1"/>
  <c r="D402" i="1"/>
  <c r="H398" i="1"/>
  <c r="G398" i="1"/>
  <c r="F398" i="1"/>
  <c r="E398" i="1"/>
  <c r="D398" i="1"/>
  <c r="H17" i="1"/>
  <c r="G17" i="1"/>
  <c r="F17" i="1"/>
  <c r="E17" i="1"/>
  <c r="D17" i="1"/>
  <c r="H64" i="1"/>
  <c r="G64" i="1"/>
  <c r="F64" i="1"/>
  <c r="E64" i="1"/>
  <c r="D64" i="1"/>
  <c r="H397" i="1"/>
  <c r="G397" i="1"/>
  <c r="F397" i="1"/>
  <c r="E397" i="1"/>
  <c r="D397" i="1"/>
  <c r="H380" i="1"/>
  <c r="G380" i="1"/>
  <c r="F380" i="1"/>
  <c r="E380" i="1"/>
  <c r="D380" i="1"/>
  <c r="H362" i="1"/>
  <c r="G362" i="1"/>
  <c r="F362" i="1"/>
  <c r="E362" i="1"/>
  <c r="D362" i="1"/>
  <c r="H355" i="1"/>
  <c r="G355" i="1"/>
  <c r="F355" i="1"/>
  <c r="E355" i="1"/>
  <c r="D355" i="1"/>
  <c r="H367" i="1"/>
  <c r="G367" i="1"/>
  <c r="F367" i="1"/>
  <c r="E367" i="1"/>
  <c r="D367" i="1"/>
  <c r="H349" i="1"/>
  <c r="G349" i="1"/>
  <c r="F349" i="1"/>
  <c r="E349" i="1"/>
  <c r="D349" i="1"/>
  <c r="H365" i="1"/>
  <c r="G365" i="1"/>
  <c r="F365" i="1"/>
  <c r="E365" i="1"/>
  <c r="D365" i="1"/>
  <c r="H336" i="1"/>
  <c r="G336" i="1"/>
  <c r="F336" i="1"/>
  <c r="E336" i="1"/>
  <c r="D336" i="1"/>
  <c r="H322" i="1"/>
  <c r="G322" i="1"/>
  <c r="F322" i="1"/>
  <c r="E322" i="1"/>
  <c r="D322" i="1"/>
  <c r="H304" i="1"/>
  <c r="G304" i="1"/>
  <c r="F304" i="1"/>
  <c r="E304" i="1"/>
  <c r="D304" i="1"/>
  <c r="H319" i="1"/>
  <c r="G319" i="1"/>
  <c r="F319" i="1"/>
  <c r="E319" i="1"/>
  <c r="D319" i="1"/>
  <c r="H275" i="1"/>
  <c r="G275" i="1"/>
  <c r="F275" i="1"/>
  <c r="E275" i="1"/>
  <c r="D275" i="1"/>
  <c r="H266" i="1"/>
  <c r="G266" i="1"/>
  <c r="F266" i="1"/>
  <c r="E266" i="1"/>
  <c r="D266" i="1"/>
  <c r="H283" i="1"/>
  <c r="G283" i="1"/>
  <c r="F283" i="1"/>
  <c r="E283" i="1"/>
  <c r="D283" i="1"/>
  <c r="H257" i="1"/>
  <c r="G257" i="1"/>
  <c r="F257" i="1"/>
  <c r="E257" i="1"/>
  <c r="D257" i="1"/>
  <c r="H260" i="1"/>
  <c r="G260" i="1"/>
  <c r="F260" i="1"/>
  <c r="E260" i="1"/>
  <c r="D260" i="1"/>
  <c r="H261" i="1"/>
  <c r="G261" i="1"/>
  <c r="F261" i="1"/>
  <c r="E261" i="1"/>
  <c r="D261" i="1"/>
  <c r="H258" i="1"/>
  <c r="G258" i="1"/>
  <c r="F258" i="1"/>
  <c r="E258" i="1"/>
  <c r="D258" i="1"/>
  <c r="H245" i="1"/>
  <c r="G245" i="1"/>
  <c r="F245" i="1"/>
  <c r="E245" i="1"/>
  <c r="D245" i="1"/>
  <c r="H240" i="1"/>
  <c r="G240" i="1"/>
  <c r="F240" i="1"/>
  <c r="E240" i="1"/>
  <c r="D240" i="1"/>
  <c r="H223" i="1"/>
  <c r="G223" i="1"/>
  <c r="F223" i="1"/>
  <c r="E223" i="1"/>
  <c r="D223" i="1"/>
  <c r="H194" i="1"/>
  <c r="G194" i="1"/>
  <c r="F194" i="1"/>
  <c r="E194" i="1"/>
  <c r="D194" i="1"/>
  <c r="H179" i="1"/>
  <c r="G179" i="1"/>
  <c r="F179" i="1"/>
  <c r="E179" i="1"/>
  <c r="D179" i="1"/>
  <c r="H185" i="1"/>
  <c r="G185" i="1"/>
  <c r="F185" i="1"/>
  <c r="E185" i="1"/>
  <c r="D185" i="1"/>
  <c r="H189" i="1"/>
  <c r="G189" i="1"/>
  <c r="F189" i="1"/>
  <c r="E189" i="1"/>
  <c r="D189" i="1"/>
  <c r="H187" i="1"/>
  <c r="G187" i="1"/>
  <c r="F187" i="1"/>
  <c r="E187" i="1"/>
  <c r="D187" i="1"/>
  <c r="H162" i="1"/>
  <c r="G162" i="1"/>
  <c r="F162" i="1"/>
  <c r="E162" i="1"/>
  <c r="D162" i="1"/>
  <c r="H153" i="1"/>
  <c r="G153" i="1"/>
  <c r="F153" i="1"/>
  <c r="E153" i="1"/>
  <c r="D153" i="1"/>
  <c r="H140" i="1"/>
  <c r="G140" i="1"/>
  <c r="F140" i="1"/>
  <c r="E140" i="1"/>
  <c r="D140" i="1"/>
  <c r="H146" i="1"/>
  <c r="G146" i="1"/>
  <c r="F146" i="1"/>
  <c r="E146" i="1"/>
  <c r="D146" i="1"/>
  <c r="H166" i="1"/>
  <c r="G166" i="1"/>
  <c r="F166" i="1"/>
  <c r="E166" i="1"/>
  <c r="D166" i="1"/>
  <c r="H55" i="1"/>
  <c r="G55" i="1"/>
  <c r="F55" i="1"/>
  <c r="E55" i="1"/>
  <c r="D55" i="1"/>
  <c r="H92" i="1"/>
  <c r="G92" i="1"/>
  <c r="F92" i="1"/>
  <c r="E92" i="1"/>
  <c r="D92" i="1"/>
  <c r="H76" i="1"/>
  <c r="G76" i="1"/>
  <c r="F76" i="1"/>
  <c r="E76" i="1"/>
  <c r="D76" i="1"/>
  <c r="H68" i="1"/>
  <c r="G68" i="1"/>
  <c r="F68" i="1"/>
  <c r="E68" i="1"/>
  <c r="D68" i="1"/>
  <c r="H51" i="1"/>
  <c r="G51" i="1"/>
  <c r="F51" i="1"/>
  <c r="E51" i="1"/>
  <c r="D51" i="1"/>
  <c r="H53" i="1"/>
  <c r="G53" i="1"/>
  <c r="F53" i="1"/>
  <c r="E53" i="1"/>
  <c r="D53" i="1"/>
  <c r="H65" i="1"/>
  <c r="G65" i="1"/>
  <c r="F65" i="1"/>
  <c r="E65" i="1"/>
  <c r="D65" i="1"/>
  <c r="H416" i="1"/>
  <c r="G416" i="1"/>
  <c r="F416" i="1"/>
  <c r="E416" i="1"/>
  <c r="D416" i="1"/>
  <c r="H433" i="1"/>
  <c r="G433" i="1"/>
  <c r="F433" i="1"/>
  <c r="E433" i="1"/>
  <c r="D433" i="1"/>
  <c r="H429" i="1"/>
  <c r="G429" i="1"/>
  <c r="F429" i="1"/>
  <c r="E429" i="1"/>
  <c r="D429" i="1"/>
  <c r="H407" i="1"/>
  <c r="G407" i="1"/>
  <c r="F407" i="1"/>
  <c r="E407" i="1"/>
  <c r="D407" i="1"/>
  <c r="H406" i="1"/>
  <c r="G406" i="1"/>
  <c r="F406" i="1"/>
  <c r="E406" i="1"/>
  <c r="D406" i="1"/>
  <c r="H404" i="1"/>
  <c r="G404" i="1"/>
  <c r="F404" i="1"/>
  <c r="E404" i="1"/>
  <c r="D404" i="1"/>
  <c r="H377" i="1"/>
  <c r="G377" i="1"/>
  <c r="F377" i="1"/>
  <c r="E377" i="1"/>
  <c r="D377" i="1"/>
  <c r="H357" i="1"/>
  <c r="G357" i="1"/>
  <c r="F357" i="1"/>
  <c r="E357" i="1"/>
  <c r="D357" i="1"/>
  <c r="H339" i="1"/>
  <c r="G339" i="1"/>
  <c r="F339" i="1"/>
  <c r="E339" i="1"/>
  <c r="D339" i="1"/>
  <c r="H323" i="1"/>
  <c r="G323" i="1"/>
  <c r="F323" i="1"/>
  <c r="E323" i="1"/>
  <c r="D323" i="1"/>
  <c r="H308" i="1"/>
  <c r="G308" i="1"/>
  <c r="F308" i="1"/>
  <c r="E308" i="1"/>
  <c r="D308" i="1"/>
  <c r="H300" i="1"/>
  <c r="G300" i="1"/>
  <c r="F300" i="1"/>
  <c r="E300" i="1"/>
  <c r="D300" i="1"/>
  <c r="H294" i="1"/>
  <c r="G294" i="1"/>
  <c r="F294" i="1"/>
  <c r="E294" i="1"/>
  <c r="D294" i="1"/>
  <c r="H276" i="1"/>
  <c r="G276" i="1"/>
  <c r="F276" i="1"/>
  <c r="E276" i="1"/>
  <c r="D276" i="1"/>
  <c r="H254" i="1"/>
  <c r="G254" i="1"/>
  <c r="F254" i="1"/>
  <c r="E254" i="1"/>
  <c r="D254" i="1"/>
  <c r="H243" i="1"/>
  <c r="G243" i="1"/>
  <c r="F243" i="1"/>
  <c r="E243" i="1"/>
  <c r="D243" i="1"/>
  <c r="H233" i="1"/>
  <c r="G233" i="1"/>
  <c r="F233" i="1"/>
  <c r="E233" i="1"/>
  <c r="D233" i="1"/>
  <c r="H216" i="1"/>
  <c r="G216" i="1"/>
  <c r="F216" i="1"/>
  <c r="E216" i="1"/>
  <c r="D216" i="1"/>
  <c r="H217" i="1"/>
  <c r="G217" i="1"/>
  <c r="F217" i="1"/>
  <c r="E217" i="1"/>
  <c r="D217" i="1"/>
  <c r="H196" i="1"/>
  <c r="G196" i="1"/>
  <c r="F196" i="1"/>
  <c r="E196" i="1"/>
  <c r="D196" i="1"/>
  <c r="H155" i="1"/>
  <c r="G155" i="1"/>
  <c r="F155" i="1"/>
  <c r="E155" i="1"/>
  <c r="D155" i="1"/>
  <c r="H170" i="1"/>
  <c r="G170" i="1"/>
  <c r="F170" i="1"/>
  <c r="E170" i="1"/>
  <c r="D170" i="1"/>
  <c r="H136" i="1"/>
  <c r="G136" i="1"/>
  <c r="F136" i="1"/>
  <c r="E136" i="1"/>
  <c r="D136" i="1"/>
  <c r="H135" i="1"/>
  <c r="G135" i="1"/>
  <c r="F135" i="1"/>
  <c r="E135" i="1"/>
  <c r="D135" i="1"/>
  <c r="H123" i="1"/>
  <c r="G123" i="1"/>
  <c r="F123" i="1"/>
  <c r="E123" i="1"/>
  <c r="D123" i="1"/>
  <c r="H110" i="1"/>
  <c r="G110" i="1"/>
  <c r="F110" i="1"/>
  <c r="E110" i="1"/>
  <c r="D110" i="1"/>
  <c r="H91" i="1"/>
  <c r="G91" i="1"/>
  <c r="F91" i="1"/>
  <c r="E91" i="1"/>
  <c r="D91" i="1"/>
  <c r="H82" i="1"/>
  <c r="G82" i="1"/>
  <c r="F82" i="1"/>
  <c r="E82" i="1"/>
  <c r="D82" i="1"/>
  <c r="H37" i="1"/>
  <c r="G37" i="1"/>
  <c r="F37" i="1"/>
  <c r="E37" i="1"/>
  <c r="D37" i="1"/>
  <c r="H101" i="1"/>
  <c r="G101" i="1"/>
  <c r="F101" i="1"/>
  <c r="E101" i="1"/>
  <c r="D101" i="1"/>
  <c r="H72" i="1"/>
  <c r="G72" i="1"/>
  <c r="F72" i="1"/>
  <c r="E72" i="1"/>
  <c r="D72" i="1"/>
  <c r="H13" i="1"/>
  <c r="G13" i="1"/>
  <c r="F13" i="1"/>
  <c r="E13" i="1"/>
  <c r="D13" i="1"/>
  <c r="H19" i="1"/>
  <c r="G19" i="1"/>
  <c r="F19" i="1"/>
  <c r="E19" i="1"/>
  <c r="D19" i="1"/>
  <c r="H93" i="1"/>
  <c r="G93" i="1"/>
  <c r="F93" i="1"/>
  <c r="E93" i="1"/>
  <c r="D93" i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<sst xmlns="http://schemas.openxmlformats.org/spreadsheetml/2006/main" count="12" uniqueCount="12">
  <si>
    <t>RNUM</t>
  </si>
  <si>
    <t>REPORT    _DATE</t>
  </si>
  <si>
    <t>CREDITOR      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</si>
  <si>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</si>
  <si>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</si>
  <si>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</si>
  <si>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</si>
  <si>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</si>
  <si>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</si>
  <si>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Отчет об остатках на балансовых  и внебалансовых счетах банков второго уровня</t>
  </si>
  <si>
    <t>АО «Eco Сenter Bank» (ДБ АО «Банк ЦентрКредит»)</t>
  </si>
  <si>
    <t>за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</si>
</sst>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8"/>
      <name val="Times New Roman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2" fillId="0" borderId="4" xfId="1" applyFont="1" applyBorder="1" applyAlignment="1">
      <alignment horizontal="center" wrapText="1"/>
    </xf>
    <xf numFmtId="0" fontId="0" fillId="0" borderId="5" xfId="0" applyBorder="1"/>
    <xf numFmtId="14" fontId="0" fillId="0" borderId="5" xfId="0" applyNumberFormat="1" applyBorder="1"/>
    <xf numFmtId="0" fontId="0" fillId="0" borderId="5" xfId="0" applyBorder="1" applyAlignment="1">
      <alignment wrapText="1"/>
    </xf>
    <xf numFmtId="43" fontId="0" fillId="0" borderId="5" xfId="1" applyFont="1" applyBorder="1"/>
    <xf numFmtId="0" fontId="0" fillId="0" borderId="6" xfId="0" applyBorder="1"/>
    <xf numFmtId="14" fontId="0" fillId="0" borderId="6" xfId="0" applyNumberFormat="1" applyBorder="1"/>
    <xf numFmtId="0" fontId="0" fillId="0" borderId="6" xfId="0" applyBorder="1" applyAlignment="1">
      <alignment wrapText="1"/>
    </xf>
    <xf numFmtId="43" fontId="0" fillId="0" borderId="6" xfId="1" applyFont="1" applyBorder="1"/>
    <xf numFmtId="0" fontId="0" fillId="0" borderId="0" xfId="0" applyAlignment="1">
      <alignment wrapText="1"/>
    </xf>
    <xf numFmtId="43" fontId="0" fillId="0" borderId="0" xfId="1" applyFont="1"/>
    <xf numFmtId="0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2"/>
  <sheetViews>
    <sheetView tabSelected="1" workbookViewId="0">
      <selection activeCell="E4" sqref="E4:G4"/>
    </sheetView>
  </sheetViews>
  <sheetFormatPr defaultRowHeight="15" x14ac:dyDescent="0.25"/>
  <cols>
    <col min="1" max="1" width="7.42578125" customWidth="1"/>
    <col min="2" max="2" width="10.85546875" customWidth="1"/>
    <col min="3" max="3" width="10" customWidth="1"/>
    <col min="4" max="4" width="7.140625" customWidth="1"/>
    <col min="5" max="5" width="62.5703125" style="13" customWidth="1"/>
    <col min="8" max="8" width="8.42578125" customWidth="1"/>
    <col min="9" max="9" width="18" style="14" customWidth="1"/>
  </cols>
  <sheetData>
    <row r="2" spans="1:9" x14ac:dyDescent="0.25">
      <c r="A2" s="17" t="s">
        <v>9</v>
      </c>
      <c r="B2" s="17"/>
      <c r="C2" s="17"/>
      <c r="D2" s="17"/>
      <c r="E2" s="17"/>
      <c r="F2" s="17"/>
      <c r="G2" s="17"/>
      <c r="H2" s="17"/>
      <c r="I2" s="17"/>
    </row>
    <row r="3" spans="1:9" ht="14.25" customHeight="1" x14ac:dyDescent="0.25">
      <c r="A3" s="17" t="s">
        <v>10</v>
      </c>
      <c r="B3" s="17"/>
      <c r="C3" s="17"/>
      <c r="D3" s="17"/>
      <c r="E3" s="17"/>
      <c r="F3" s="17"/>
      <c r="G3" s="17"/>
      <c r="H3" s="17"/>
      <c r="I3" s="17"/>
    </row>
    <row r="4" spans="1:9" ht="14.25" customHeight="1" x14ac:dyDescent="0.25">
      <c r="A4" s="16"/>
      <c r="B4" s="16"/>
      <c r="C4" s="16"/>
      <c r="D4" s="16"/>
      <c r="E4" s="18" t="s">
        <v>11</v>
      </c>
      <c r="F4" s="18"/>
      <c r="G4" s="18"/>
      <c r="H4" s="16"/>
      <c r="I4" s="16"/>
    </row>
    <row r="5" spans="1:9" ht="11.25" customHeight="1" thickBot="1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9" ht="60.75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3" t="s">
        <v>4</v>
      </c>
      <c r="F6" s="2" t="s">
        <v>5</v>
      </c>
      <c r="G6" s="2" t="s">
        <v>6</v>
      </c>
      <c r="H6" s="2" t="s">
        <v>7</v>
      </c>
      <c r="I6" s="4" t="s">
        <v>8</v>
      </c>
    </row>
    <row r="7" spans="1:9" x14ac:dyDescent="0.25">
      <c r="A7" s="5">
        <v>223</v>
      </c>
      <c r="B7" s="6">
        <v>44742</v>
      </c>
      <c r="C7" s="5">
        <v>9</v>
      </c>
      <c r="D7" s="5" t="str">
        <f>"1001"</f>
        <v>1001</v>
      </c>
      <c r="E7" s="7" t="str">
        <f>"Наличность в кассе"</f>
        <v>Наличность в кассе</v>
      </c>
      <c r="F7" s="5" t="str">
        <f>"1"</f>
        <v>1</v>
      </c>
      <c r="G7" s="5" t="str">
        <f t="shared" ref="G7:G14" si="0">"3"</f>
        <v>3</v>
      </c>
      <c r="H7" s="5" t="str">
        <f>"1"</f>
        <v>1</v>
      </c>
      <c r="I7" s="8">
        <v>10526217851</v>
      </c>
    </row>
    <row r="8" spans="1:9" x14ac:dyDescent="0.25">
      <c r="A8" s="9">
        <v>404</v>
      </c>
      <c r="B8" s="10">
        <v>44742</v>
      </c>
      <c r="C8" s="9">
        <v>9</v>
      </c>
      <c r="D8" s="9" t="str">
        <f>"1001"</f>
        <v>1001</v>
      </c>
      <c r="E8" s="11" t="str">
        <f>"Наличность в кассе"</f>
        <v>Наличность в кассе</v>
      </c>
      <c r="F8" s="9" t="str">
        <f>"2"</f>
        <v>2</v>
      </c>
      <c r="G8" s="9" t="str">
        <f t="shared" si="0"/>
        <v>3</v>
      </c>
      <c r="H8" s="9" t="str">
        <f>"2"</f>
        <v>2</v>
      </c>
      <c r="I8" s="12">
        <v>2729229090.8800001</v>
      </c>
    </row>
    <row r="9" spans="1:9" x14ac:dyDescent="0.25">
      <c r="A9" s="9">
        <v>207</v>
      </c>
      <c r="B9" s="10">
        <v>44742</v>
      </c>
      <c r="C9" s="9">
        <v>9</v>
      </c>
      <c r="D9" s="9" t="str">
        <f>"1001"</f>
        <v>1001</v>
      </c>
      <c r="E9" s="11" t="str">
        <f>"Наличность в кассе"</f>
        <v>Наличность в кассе</v>
      </c>
      <c r="F9" s="9" t="str">
        <f>"2"</f>
        <v>2</v>
      </c>
      <c r="G9" s="9" t="str">
        <f t="shared" si="0"/>
        <v>3</v>
      </c>
      <c r="H9" s="9" t="str">
        <f>"3"</f>
        <v>3</v>
      </c>
      <c r="I9" s="12">
        <v>2215266241.1799998</v>
      </c>
    </row>
    <row r="10" spans="1:9" x14ac:dyDescent="0.25">
      <c r="A10" s="9">
        <v>334</v>
      </c>
      <c r="B10" s="10">
        <v>44742</v>
      </c>
      <c r="C10" s="9">
        <v>9</v>
      </c>
      <c r="D10" s="9" t="str">
        <f>"1002"</f>
        <v>1002</v>
      </c>
      <c r="E10" s="11" t="str">
        <f>"Банкноты и монеты в пути"</f>
        <v>Банкноты и монеты в пути</v>
      </c>
      <c r="F10" s="9" t="str">
        <f>"1"</f>
        <v>1</v>
      </c>
      <c r="G10" s="9" t="str">
        <f t="shared" si="0"/>
        <v>3</v>
      </c>
      <c r="H10" s="9" t="str">
        <f>"1"</f>
        <v>1</v>
      </c>
      <c r="I10" s="12">
        <v>708766337</v>
      </c>
    </row>
    <row r="11" spans="1:9" x14ac:dyDescent="0.25">
      <c r="A11" s="9">
        <v>270</v>
      </c>
      <c r="B11" s="10">
        <v>44742</v>
      </c>
      <c r="C11" s="9">
        <v>9</v>
      </c>
      <c r="D11" s="9" t="str">
        <f>"1002"</f>
        <v>1002</v>
      </c>
      <c r="E11" s="11" t="str">
        <f>"Банкноты и монеты в пути"</f>
        <v>Банкноты и монеты в пути</v>
      </c>
      <c r="F11" s="9" t="str">
        <f>"2"</f>
        <v>2</v>
      </c>
      <c r="G11" s="9" t="str">
        <f t="shared" si="0"/>
        <v>3</v>
      </c>
      <c r="H11" s="9" t="str">
        <f>"2"</f>
        <v>2</v>
      </c>
      <c r="I11" s="12">
        <v>232575385.78999999</v>
      </c>
    </row>
    <row r="12" spans="1:9" x14ac:dyDescent="0.25">
      <c r="A12" s="9">
        <v>359</v>
      </c>
      <c r="B12" s="10">
        <v>44742</v>
      </c>
      <c r="C12" s="9">
        <v>9</v>
      </c>
      <c r="D12" s="9" t="str">
        <f>"1002"</f>
        <v>1002</v>
      </c>
      <c r="E12" s="11" t="str">
        <f>"Банкноты и монеты в пути"</f>
        <v>Банкноты и монеты в пути</v>
      </c>
      <c r="F12" s="9" t="str">
        <f>"2"</f>
        <v>2</v>
      </c>
      <c r="G12" s="9" t="str">
        <f t="shared" si="0"/>
        <v>3</v>
      </c>
      <c r="H12" s="9" t="str">
        <f>"3"</f>
        <v>3</v>
      </c>
      <c r="I12" s="12">
        <v>232248842</v>
      </c>
    </row>
    <row r="13" spans="1:9" x14ac:dyDescent="0.25">
      <c r="A13" s="9">
        <v>4</v>
      </c>
      <c r="B13" s="10">
        <v>44742</v>
      </c>
      <c r="C13" s="9">
        <v>9</v>
      </c>
      <c r="D13" s="9" t="str">
        <f>"1005"</f>
        <v>1005</v>
      </c>
      <c r="E13" s="11" t="str">
        <f>"Наличность в банкоматах и электронных терминалах"</f>
        <v>Наличность в банкоматах и электронных терминалах</v>
      </c>
      <c r="F13" s="9" t="str">
        <f>"1"</f>
        <v>1</v>
      </c>
      <c r="G13" s="9" t="str">
        <f t="shared" si="0"/>
        <v>3</v>
      </c>
      <c r="H13" s="9" t="str">
        <f>"1"</f>
        <v>1</v>
      </c>
      <c r="I13" s="12">
        <v>3738682734</v>
      </c>
    </row>
    <row r="14" spans="1:9" ht="30" x14ac:dyDescent="0.25">
      <c r="A14" s="9">
        <v>311</v>
      </c>
      <c r="B14" s="10">
        <v>44742</v>
      </c>
      <c r="C14" s="9">
        <v>9</v>
      </c>
      <c r="D14" s="9" t="str">
        <f>"1051"</f>
        <v>1051</v>
      </c>
      <c r="E14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s="9" t="str">
        <f>"1"</f>
        <v>1</v>
      </c>
      <c r="G14" s="9" t="str">
        <f t="shared" si="0"/>
        <v>3</v>
      </c>
      <c r="H14" s="9" t="str">
        <f>"1"</f>
        <v>1</v>
      </c>
      <c r="I14" s="12">
        <v>17215774782.279999</v>
      </c>
    </row>
    <row r="15" spans="1:9" x14ac:dyDescent="0.25">
      <c r="A15" s="9">
        <v>405</v>
      </c>
      <c r="B15" s="10">
        <v>44742</v>
      </c>
      <c r="C15" s="9">
        <v>9</v>
      </c>
      <c r="D15" s="9" t="str">
        <f>"1052"</f>
        <v>1052</v>
      </c>
      <c r="E15" s="11" t="str">
        <f>"Корреспондентские счета в других банках"</f>
        <v>Корреспондентские счета в других банках</v>
      </c>
      <c r="F15" s="9" t="str">
        <f>"1"</f>
        <v>1</v>
      </c>
      <c r="G15" s="9" t="str">
        <f>"5"</f>
        <v>5</v>
      </c>
      <c r="H15" s="9" t="str">
        <f>"2"</f>
        <v>2</v>
      </c>
      <c r="I15" s="12">
        <v>451.53</v>
      </c>
    </row>
    <row r="16" spans="1:9" x14ac:dyDescent="0.25">
      <c r="A16" s="9">
        <v>430</v>
      </c>
      <c r="B16" s="10">
        <v>44742</v>
      </c>
      <c r="C16" s="9">
        <v>9</v>
      </c>
      <c r="D16" s="9" t="str">
        <f>"1052"</f>
        <v>1052</v>
      </c>
      <c r="E16" s="11" t="str">
        <f>"Корреспондентские счета в других банках"</f>
        <v>Корреспондентские счета в других банках</v>
      </c>
      <c r="F16" s="9" t="str">
        <f>"2"</f>
        <v>2</v>
      </c>
      <c r="G16" s="9" t="str">
        <f>"4"</f>
        <v>4</v>
      </c>
      <c r="H16" s="9" t="str">
        <f>"2"</f>
        <v>2</v>
      </c>
      <c r="I16" s="12">
        <v>7662014097.8999996</v>
      </c>
    </row>
    <row r="17" spans="1:9" x14ac:dyDescent="0.25">
      <c r="A17" s="9">
        <v>75</v>
      </c>
      <c r="B17" s="10">
        <v>44742</v>
      </c>
      <c r="C17" s="9">
        <v>9</v>
      </c>
      <c r="D17" s="9" t="str">
        <f>"1052"</f>
        <v>1052</v>
      </c>
      <c r="E17" s="11" t="str">
        <f>"Корреспондентские счета в других банках"</f>
        <v>Корреспондентские счета в других банках</v>
      </c>
      <c r="F17" s="9" t="str">
        <f>"2"</f>
        <v>2</v>
      </c>
      <c r="G17" s="9" t="str">
        <f>"4"</f>
        <v>4</v>
      </c>
      <c r="H17" s="9" t="str">
        <f>"3"</f>
        <v>3</v>
      </c>
      <c r="I17" s="12">
        <v>11365327.949999999</v>
      </c>
    </row>
    <row r="18" spans="1:9" ht="30" x14ac:dyDescent="0.25">
      <c r="A18" s="9">
        <v>182</v>
      </c>
      <c r="B18" s="10">
        <v>44742</v>
      </c>
      <c r="C18" s="9">
        <v>9</v>
      </c>
      <c r="D18" s="9" t="str">
        <f>"1054"</f>
        <v>1054</v>
      </c>
      <c r="E18" s="1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8" s="9" t="str">
        <f>"2"</f>
        <v>2</v>
      </c>
      <c r="G18" s="9" t="str">
        <f>"4"</f>
        <v>4</v>
      </c>
      <c r="H18" s="9" t="str">
        <f>"2"</f>
        <v>2</v>
      </c>
      <c r="I18" s="12">
        <v>-1075540.22</v>
      </c>
    </row>
    <row r="19" spans="1:9" ht="30" x14ac:dyDescent="0.25">
      <c r="A19" s="9">
        <v>3</v>
      </c>
      <c r="B19" s="10">
        <v>44742</v>
      </c>
      <c r="C19" s="9">
        <v>9</v>
      </c>
      <c r="D19" s="9" t="str">
        <f>"1054"</f>
        <v>1054</v>
      </c>
      <c r="E19" s="1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s="9" t="str">
        <f>"2"</f>
        <v>2</v>
      </c>
      <c r="G19" s="9" t="str">
        <f>"4"</f>
        <v>4</v>
      </c>
      <c r="H19" s="9" t="str">
        <f>"3"</f>
        <v>3</v>
      </c>
      <c r="I19" s="12">
        <v>-2047475.92</v>
      </c>
    </row>
    <row r="20" spans="1:9" ht="45" x14ac:dyDescent="0.25">
      <c r="A20" s="9">
        <v>294</v>
      </c>
      <c r="B20" s="10">
        <v>44742</v>
      </c>
      <c r="C20" s="9">
        <v>9</v>
      </c>
      <c r="D20" s="9" t="str">
        <f>"1264"</f>
        <v>1264</v>
      </c>
      <c r="E20" s="1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20" s="9" t="str">
        <f>"2"</f>
        <v>2</v>
      </c>
      <c r="G20" s="9" t="str">
        <f>"5"</f>
        <v>5</v>
      </c>
      <c r="H20" s="9" t="str">
        <f>"2"</f>
        <v>2</v>
      </c>
      <c r="I20" s="12">
        <v>4596766866.8999996</v>
      </c>
    </row>
    <row r="21" spans="1:9" ht="30" x14ac:dyDescent="0.25">
      <c r="A21" s="9">
        <v>86</v>
      </c>
      <c r="B21" s="10">
        <v>44742</v>
      </c>
      <c r="C21" s="9">
        <v>9</v>
      </c>
      <c r="D21" s="9" t="str">
        <f>"1267"</f>
        <v>1267</v>
      </c>
      <c r="E21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1" s="9" t="str">
        <f>"1"</f>
        <v>1</v>
      </c>
      <c r="G21" s="9" t="str">
        <f>"5"</f>
        <v>5</v>
      </c>
      <c r="H21" s="9" t="str">
        <f>"1"</f>
        <v>1</v>
      </c>
      <c r="I21" s="12">
        <v>53000000</v>
      </c>
    </row>
    <row r="22" spans="1:9" ht="30" x14ac:dyDescent="0.25">
      <c r="A22" s="9">
        <v>243</v>
      </c>
      <c r="B22" s="10">
        <v>44742</v>
      </c>
      <c r="C22" s="9">
        <v>9</v>
      </c>
      <c r="D22" s="9" t="str">
        <f>"1267"</f>
        <v>1267</v>
      </c>
      <c r="E22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2" s="9" t="str">
        <f>"1"</f>
        <v>1</v>
      </c>
      <c r="G22" s="9" t="str">
        <f>"7"</f>
        <v>7</v>
      </c>
      <c r="H22" s="9" t="str">
        <f>"1"</f>
        <v>1</v>
      </c>
      <c r="I22" s="12">
        <v>30000000</v>
      </c>
    </row>
    <row r="23" spans="1:9" ht="30" x14ac:dyDescent="0.25">
      <c r="A23" s="9">
        <v>85</v>
      </c>
      <c r="B23" s="10">
        <v>44742</v>
      </c>
      <c r="C23" s="9">
        <v>9</v>
      </c>
      <c r="D23" s="9" t="str">
        <f>"1267"</f>
        <v>1267</v>
      </c>
      <c r="E23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3" s="9" t="str">
        <f>"2"</f>
        <v>2</v>
      </c>
      <c r="G23" s="9" t="str">
        <f>"4"</f>
        <v>4</v>
      </c>
      <c r="H23" s="9" t="str">
        <f>"2"</f>
        <v>2</v>
      </c>
      <c r="I23" s="12">
        <v>1158459071.4100001</v>
      </c>
    </row>
    <row r="24" spans="1:9" x14ac:dyDescent="0.25">
      <c r="A24" s="9">
        <v>128</v>
      </c>
      <c r="B24" s="10">
        <v>44742</v>
      </c>
      <c r="C24" s="9">
        <v>9</v>
      </c>
      <c r="D24" s="9" t="str">
        <f>"1302"</f>
        <v>1302</v>
      </c>
      <c r="E24" s="11" t="str">
        <f>"Краткосрочные займы, предоставленные другим банкам"</f>
        <v>Краткосрочные займы, предоставленные другим банкам</v>
      </c>
      <c r="F24" s="9" t="str">
        <f>"2"</f>
        <v>2</v>
      </c>
      <c r="G24" s="9" t="str">
        <f>"4"</f>
        <v>4</v>
      </c>
      <c r="H24" s="9" t="str">
        <f>"2"</f>
        <v>2</v>
      </c>
      <c r="I24" s="12">
        <v>4193634031.6999998</v>
      </c>
    </row>
    <row r="25" spans="1:9" x14ac:dyDescent="0.25">
      <c r="A25" s="9">
        <v>315</v>
      </c>
      <c r="B25" s="10">
        <v>44742</v>
      </c>
      <c r="C25" s="9">
        <v>9</v>
      </c>
      <c r="D25" s="9" t="str">
        <f>"1302"</f>
        <v>1302</v>
      </c>
      <c r="E25" s="11" t="str">
        <f>"Краткосрочные займы, предоставленные другим банкам"</f>
        <v>Краткосрочные займы, предоставленные другим банкам</v>
      </c>
      <c r="F25" s="9" t="str">
        <f>"2"</f>
        <v>2</v>
      </c>
      <c r="G25" s="9" t="str">
        <f>"4"</f>
        <v>4</v>
      </c>
      <c r="H25" s="9" t="str">
        <f>"3"</f>
        <v>3</v>
      </c>
      <c r="I25" s="12">
        <v>62539593.600000001</v>
      </c>
    </row>
    <row r="26" spans="1:9" ht="30" x14ac:dyDescent="0.25">
      <c r="A26" s="9">
        <v>253</v>
      </c>
      <c r="B26" s="10">
        <v>44742</v>
      </c>
      <c r="C26" s="9">
        <v>9</v>
      </c>
      <c r="D26" s="9" t="str">
        <f>"1319"</f>
        <v>1319</v>
      </c>
      <c r="E26" s="11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26" s="9" t="str">
        <f>"2"</f>
        <v>2</v>
      </c>
      <c r="G26" s="9" t="str">
        <f>"4"</f>
        <v>4</v>
      </c>
      <c r="H26" s="9" t="str">
        <f>"2"</f>
        <v>2</v>
      </c>
      <c r="I26" s="12">
        <v>-19876121.579999998</v>
      </c>
    </row>
    <row r="27" spans="1:9" ht="30" x14ac:dyDescent="0.25">
      <c r="A27" s="9">
        <v>378</v>
      </c>
      <c r="B27" s="10">
        <v>44742</v>
      </c>
      <c r="C27" s="9">
        <v>9</v>
      </c>
      <c r="D27" s="9" t="str">
        <f>"1319"</f>
        <v>1319</v>
      </c>
      <c r="E27" s="11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27" s="9" t="str">
        <f>"2"</f>
        <v>2</v>
      </c>
      <c r="G27" s="9" t="str">
        <f>"4"</f>
        <v>4</v>
      </c>
      <c r="H27" s="9" t="str">
        <f>"3"</f>
        <v>3</v>
      </c>
      <c r="I27" s="12">
        <v>-773962.94</v>
      </c>
    </row>
    <row r="28" spans="1:9" x14ac:dyDescent="0.25">
      <c r="A28" s="9">
        <v>321</v>
      </c>
      <c r="B28" s="10">
        <v>44742</v>
      </c>
      <c r="C28" s="9">
        <v>9</v>
      </c>
      <c r="D28" s="9" t="str">
        <f>"1401"</f>
        <v>1401</v>
      </c>
      <c r="E28" s="11" t="str">
        <f>"Займы овердрафт, предоставленные клиентам"</f>
        <v>Займы овердрафт, предоставленные клиентам</v>
      </c>
      <c r="F28" s="9" t="str">
        <f>"1"</f>
        <v>1</v>
      </c>
      <c r="G28" s="9" t="str">
        <f>"7"</f>
        <v>7</v>
      </c>
      <c r="H28" s="9" t="str">
        <f t="shared" ref="H28:H48" si="1">"1"</f>
        <v>1</v>
      </c>
      <c r="I28" s="12">
        <v>7272140.6399999997</v>
      </c>
    </row>
    <row r="29" spans="1:9" x14ac:dyDescent="0.25">
      <c r="A29" s="9">
        <v>222</v>
      </c>
      <c r="B29" s="10">
        <v>44742</v>
      </c>
      <c r="C29" s="9">
        <v>9</v>
      </c>
      <c r="D29" s="9" t="str">
        <f>"1403"</f>
        <v>1403</v>
      </c>
      <c r="E29" s="11" t="str">
        <f>"Счета по кредитным карточкам клиентов"</f>
        <v>Счета по кредитным карточкам клиентов</v>
      </c>
      <c r="F29" s="9" t="str">
        <f>"1"</f>
        <v>1</v>
      </c>
      <c r="G29" s="9" t="str">
        <f>"9"</f>
        <v>9</v>
      </c>
      <c r="H29" s="9" t="str">
        <f t="shared" si="1"/>
        <v>1</v>
      </c>
      <c r="I29" s="12">
        <v>48567952898.980003</v>
      </c>
    </row>
    <row r="30" spans="1:9" x14ac:dyDescent="0.25">
      <c r="A30" s="9">
        <v>244</v>
      </c>
      <c r="B30" s="10">
        <v>44742</v>
      </c>
      <c r="C30" s="9">
        <v>9</v>
      </c>
      <c r="D30" s="9" t="str">
        <f>"1403"</f>
        <v>1403</v>
      </c>
      <c r="E30" s="11" t="str">
        <f>"Счета по кредитным карточкам клиентов"</f>
        <v>Счета по кредитным карточкам клиентов</v>
      </c>
      <c r="F30" s="9" t="str">
        <f>"2"</f>
        <v>2</v>
      </c>
      <c r="G30" s="9" t="str">
        <f>"9"</f>
        <v>9</v>
      </c>
      <c r="H30" s="9" t="str">
        <f t="shared" si="1"/>
        <v>1</v>
      </c>
      <c r="I30" s="12">
        <v>3327383.68</v>
      </c>
    </row>
    <row r="31" spans="1:9" x14ac:dyDescent="0.25">
      <c r="A31" s="9">
        <v>406</v>
      </c>
      <c r="B31" s="10">
        <v>44742</v>
      </c>
      <c r="C31" s="9">
        <v>9</v>
      </c>
      <c r="D31" s="9" t="str">
        <f>"1411"</f>
        <v>1411</v>
      </c>
      <c r="E31" s="11" t="str">
        <f>"Краткосрочные займы, предоставленные клиентам"</f>
        <v>Краткосрочные займы, предоставленные клиентам</v>
      </c>
      <c r="F31" s="9" t="str">
        <f>"1"</f>
        <v>1</v>
      </c>
      <c r="G31" s="9" t="str">
        <f>"7"</f>
        <v>7</v>
      </c>
      <c r="H31" s="9" t="str">
        <f t="shared" si="1"/>
        <v>1</v>
      </c>
      <c r="I31" s="12">
        <v>2710899917.1300001</v>
      </c>
    </row>
    <row r="32" spans="1:9" x14ac:dyDescent="0.25">
      <c r="A32" s="9">
        <v>208</v>
      </c>
      <c r="B32" s="10">
        <v>44742</v>
      </c>
      <c r="C32" s="9">
        <v>9</v>
      </c>
      <c r="D32" s="9" t="str">
        <f>"1411"</f>
        <v>1411</v>
      </c>
      <c r="E32" s="11" t="str">
        <f>"Краткосрочные займы, предоставленные клиентам"</f>
        <v>Краткосрочные займы, предоставленные клиентам</v>
      </c>
      <c r="F32" s="9" t="str">
        <f>"1"</f>
        <v>1</v>
      </c>
      <c r="G32" s="9" t="str">
        <f>"9"</f>
        <v>9</v>
      </c>
      <c r="H32" s="9" t="str">
        <f t="shared" si="1"/>
        <v>1</v>
      </c>
      <c r="I32" s="12">
        <v>5794206645.3199997</v>
      </c>
    </row>
    <row r="33" spans="1:9" x14ac:dyDescent="0.25">
      <c r="A33" s="9">
        <v>431</v>
      </c>
      <c r="B33" s="10">
        <v>44742</v>
      </c>
      <c r="C33" s="9">
        <v>9</v>
      </c>
      <c r="D33" s="9" t="str">
        <f>"1411"</f>
        <v>1411</v>
      </c>
      <c r="E33" s="11" t="str">
        <f>"Краткосрочные займы, предоставленные клиентам"</f>
        <v>Краткосрочные займы, предоставленные клиентам</v>
      </c>
      <c r="F33" s="9" t="str">
        <f>"2"</f>
        <v>2</v>
      </c>
      <c r="G33" s="9" t="str">
        <f>"9"</f>
        <v>9</v>
      </c>
      <c r="H33" s="9" t="str">
        <f t="shared" si="1"/>
        <v>1</v>
      </c>
      <c r="I33" s="12">
        <v>1076957.25</v>
      </c>
    </row>
    <row r="34" spans="1:9" x14ac:dyDescent="0.25">
      <c r="A34" s="9">
        <v>161</v>
      </c>
      <c r="B34" s="10">
        <v>44742</v>
      </c>
      <c r="C34" s="9">
        <v>9</v>
      </c>
      <c r="D34" s="9" t="str">
        <f>"1417"</f>
        <v>1417</v>
      </c>
      <c r="E34" s="11" t="str">
        <f>"Долгосрочные займы, предоставленные клиентам"</f>
        <v>Долгосрочные займы, предоставленные клиентам</v>
      </c>
      <c r="F34" s="9" t="str">
        <f>"1"</f>
        <v>1</v>
      </c>
      <c r="G34" s="9" t="str">
        <f>"7"</f>
        <v>7</v>
      </c>
      <c r="H34" s="9" t="str">
        <f t="shared" si="1"/>
        <v>1</v>
      </c>
      <c r="I34" s="12">
        <v>2916875882.7600002</v>
      </c>
    </row>
    <row r="35" spans="1:9" x14ac:dyDescent="0.25">
      <c r="A35" s="9">
        <v>1</v>
      </c>
      <c r="B35" s="10">
        <v>44742</v>
      </c>
      <c r="C35" s="9">
        <v>9</v>
      </c>
      <c r="D35" s="9" t="str">
        <f>"1417"</f>
        <v>1417</v>
      </c>
      <c r="E35" s="11" t="str">
        <f>"Долгосрочные займы, предоставленные клиентам"</f>
        <v>Долгосрочные займы, предоставленные клиентам</v>
      </c>
      <c r="F35" s="9" t="str">
        <f>"1"</f>
        <v>1</v>
      </c>
      <c r="G35" s="9" t="str">
        <f>"9"</f>
        <v>9</v>
      </c>
      <c r="H35" s="9" t="str">
        <f t="shared" si="1"/>
        <v>1</v>
      </c>
      <c r="I35" s="12">
        <v>86067157613.899994</v>
      </c>
    </row>
    <row r="36" spans="1:9" x14ac:dyDescent="0.25">
      <c r="A36" s="9">
        <v>357</v>
      </c>
      <c r="B36" s="10">
        <v>44742</v>
      </c>
      <c r="C36" s="9">
        <v>9</v>
      </c>
      <c r="D36" s="9" t="str">
        <f>"1424"</f>
        <v>1424</v>
      </c>
      <c r="E36" s="11" t="str">
        <f>"Просроченная задолженность клиентов по займам"</f>
        <v>Просроченная задолженность клиентов по займам</v>
      </c>
      <c r="F36" s="9" t="str">
        <f>"1"</f>
        <v>1</v>
      </c>
      <c r="G36" s="9" t="str">
        <f>"7"</f>
        <v>7</v>
      </c>
      <c r="H36" s="9" t="str">
        <f t="shared" si="1"/>
        <v>1</v>
      </c>
      <c r="I36" s="12">
        <v>1617565928.72</v>
      </c>
    </row>
    <row r="37" spans="1:9" x14ac:dyDescent="0.25">
      <c r="A37" s="9">
        <v>7</v>
      </c>
      <c r="B37" s="10">
        <v>44742</v>
      </c>
      <c r="C37" s="9">
        <v>9</v>
      </c>
      <c r="D37" s="9" t="str">
        <f>"1424"</f>
        <v>1424</v>
      </c>
      <c r="E37" s="11" t="str">
        <f>"Просроченная задолженность клиентов по займам"</f>
        <v>Просроченная задолженность клиентов по займам</v>
      </c>
      <c r="F37" s="9" t="str">
        <f>"1"</f>
        <v>1</v>
      </c>
      <c r="G37" s="9" t="str">
        <f>"9"</f>
        <v>9</v>
      </c>
      <c r="H37" s="9" t="str">
        <f t="shared" si="1"/>
        <v>1</v>
      </c>
      <c r="I37" s="12">
        <v>4474947617.3800001</v>
      </c>
    </row>
    <row r="38" spans="1:9" x14ac:dyDescent="0.25">
      <c r="A38" s="9">
        <v>358</v>
      </c>
      <c r="B38" s="10">
        <v>44742</v>
      </c>
      <c r="C38" s="9">
        <v>9</v>
      </c>
      <c r="D38" s="9" t="str">
        <f>"1424"</f>
        <v>1424</v>
      </c>
      <c r="E38" s="11" t="str">
        <f>"Просроченная задолженность клиентов по займам"</f>
        <v>Просроченная задолженность клиентов по займам</v>
      </c>
      <c r="F38" s="9" t="str">
        <f>"2"</f>
        <v>2</v>
      </c>
      <c r="G38" s="9" t="str">
        <f>"9"</f>
        <v>9</v>
      </c>
      <c r="H38" s="9" t="str">
        <f t="shared" si="1"/>
        <v>1</v>
      </c>
      <c r="I38" s="12">
        <v>283094.34999999998</v>
      </c>
    </row>
    <row r="39" spans="1:9" ht="30" x14ac:dyDescent="0.25">
      <c r="A39" s="9">
        <v>377</v>
      </c>
      <c r="B39" s="10">
        <v>44742</v>
      </c>
      <c r="C39" s="9">
        <v>9</v>
      </c>
      <c r="D39" s="9" t="str">
        <f>"1428"</f>
        <v>1428</v>
      </c>
      <c r="E39" s="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9" s="9" t="str">
        <f>"1"</f>
        <v>1</v>
      </c>
      <c r="G39" s="9" t="str">
        <f>"7"</f>
        <v>7</v>
      </c>
      <c r="H39" s="9" t="str">
        <f t="shared" si="1"/>
        <v>1</v>
      </c>
      <c r="I39" s="12">
        <v>-2457632237.4099998</v>
      </c>
    </row>
    <row r="40" spans="1:9" ht="30" x14ac:dyDescent="0.25">
      <c r="A40" s="9">
        <v>426</v>
      </c>
      <c r="B40" s="10">
        <v>44742</v>
      </c>
      <c r="C40" s="9">
        <v>9</v>
      </c>
      <c r="D40" s="9" t="str">
        <f>"1428"</f>
        <v>1428</v>
      </c>
      <c r="E40" s="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0" s="9" t="str">
        <f>"1"</f>
        <v>1</v>
      </c>
      <c r="G40" s="9" t="str">
        <f>"9"</f>
        <v>9</v>
      </c>
      <c r="H40" s="9" t="str">
        <f t="shared" si="1"/>
        <v>1</v>
      </c>
      <c r="I40" s="12">
        <v>-20227541389.279999</v>
      </c>
    </row>
    <row r="41" spans="1:9" ht="30" x14ac:dyDescent="0.25">
      <c r="A41" s="9">
        <v>338</v>
      </c>
      <c r="B41" s="10">
        <v>44742</v>
      </c>
      <c r="C41" s="9">
        <v>9</v>
      </c>
      <c r="D41" s="9" t="str">
        <f>"1428"</f>
        <v>1428</v>
      </c>
      <c r="E41" s="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1" s="9" t="str">
        <f>"2"</f>
        <v>2</v>
      </c>
      <c r="G41" s="9" t="str">
        <f>"9"</f>
        <v>9</v>
      </c>
      <c r="H41" s="9" t="str">
        <f t="shared" si="1"/>
        <v>1</v>
      </c>
      <c r="I41" s="12">
        <v>-455855.46</v>
      </c>
    </row>
    <row r="42" spans="1:9" x14ac:dyDescent="0.25">
      <c r="A42" s="9">
        <v>202</v>
      </c>
      <c r="B42" s="10">
        <v>44742</v>
      </c>
      <c r="C42" s="9">
        <v>9</v>
      </c>
      <c r="D42" s="9" t="str">
        <f>"1434"</f>
        <v>1434</v>
      </c>
      <c r="E42" s="11" t="str">
        <f>"Дисконт по займам, предоставленным клиентам"</f>
        <v>Дисконт по займам, предоставленным клиентам</v>
      </c>
      <c r="F42" s="9" t="str">
        <f>"1"</f>
        <v>1</v>
      </c>
      <c r="G42" s="9" t="str">
        <f>"7"</f>
        <v>7</v>
      </c>
      <c r="H42" s="9" t="str">
        <f t="shared" si="1"/>
        <v>1</v>
      </c>
      <c r="I42" s="12">
        <v>-113660616.42</v>
      </c>
    </row>
    <row r="43" spans="1:9" x14ac:dyDescent="0.25">
      <c r="A43" s="9">
        <v>448</v>
      </c>
      <c r="B43" s="10">
        <v>44742</v>
      </c>
      <c r="C43" s="9">
        <v>9</v>
      </c>
      <c r="D43" s="9" t="str">
        <f>"1434"</f>
        <v>1434</v>
      </c>
      <c r="E43" s="11" t="str">
        <f>"Дисконт по займам, предоставленным клиентам"</f>
        <v>Дисконт по займам, предоставленным клиентам</v>
      </c>
      <c r="F43" s="9" t="str">
        <f>"1"</f>
        <v>1</v>
      </c>
      <c r="G43" s="9" t="str">
        <f>"9"</f>
        <v>9</v>
      </c>
      <c r="H43" s="9" t="str">
        <f t="shared" si="1"/>
        <v>1</v>
      </c>
      <c r="I43" s="12">
        <v>-5375835287.3000002</v>
      </c>
    </row>
    <row r="44" spans="1:9" x14ac:dyDescent="0.25">
      <c r="A44" s="9">
        <v>432</v>
      </c>
      <c r="B44" s="10">
        <v>44742</v>
      </c>
      <c r="C44" s="9">
        <v>9</v>
      </c>
      <c r="D44" s="9" t="str">
        <f>"1434"</f>
        <v>1434</v>
      </c>
      <c r="E44" s="11" t="str">
        <f>"Дисконт по займам, предоставленным клиентам"</f>
        <v>Дисконт по займам, предоставленным клиентам</v>
      </c>
      <c r="F44" s="9" t="str">
        <f>"2"</f>
        <v>2</v>
      </c>
      <c r="G44" s="9" t="str">
        <f>"9"</f>
        <v>9</v>
      </c>
      <c r="H44" s="9" t="str">
        <f t="shared" si="1"/>
        <v>1</v>
      </c>
      <c r="I44" s="12">
        <v>-24.3</v>
      </c>
    </row>
    <row r="45" spans="1:9" x14ac:dyDescent="0.25">
      <c r="A45" s="9">
        <v>127</v>
      </c>
      <c r="B45" s="10">
        <v>44742</v>
      </c>
      <c r="C45" s="9">
        <v>9</v>
      </c>
      <c r="D45" s="9" t="str">
        <f>"1476"</f>
        <v>1476</v>
      </c>
      <c r="E45" s="11" t="str">
        <f>"Прочие инвестиции"</f>
        <v>Прочие инвестиции</v>
      </c>
      <c r="F45" s="9" t="str">
        <f>"1"</f>
        <v>1</v>
      </c>
      <c r="G45" s="9" t="str">
        <f>"5"</f>
        <v>5</v>
      </c>
      <c r="H45" s="9" t="str">
        <f t="shared" si="1"/>
        <v>1</v>
      </c>
      <c r="I45" s="12">
        <v>200000</v>
      </c>
    </row>
    <row r="46" spans="1:9" ht="30" x14ac:dyDescent="0.25">
      <c r="A46" s="9">
        <v>83</v>
      </c>
      <c r="B46" s="10">
        <v>44742</v>
      </c>
      <c r="C46" s="9">
        <v>9</v>
      </c>
      <c r="D46" s="9" t="str">
        <f>"1492"</f>
        <v>1492</v>
      </c>
      <c r="E46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46" s="9" t="str">
        <f>"1"</f>
        <v>1</v>
      </c>
      <c r="G46" s="9" t="str">
        <f>"7"</f>
        <v>7</v>
      </c>
      <c r="H46" s="9" t="str">
        <f t="shared" si="1"/>
        <v>1</v>
      </c>
      <c r="I46" s="12">
        <v>-14386554.41</v>
      </c>
    </row>
    <row r="47" spans="1:9" ht="30" x14ac:dyDescent="0.25">
      <c r="A47" s="9">
        <v>185</v>
      </c>
      <c r="B47" s="10">
        <v>44742</v>
      </c>
      <c r="C47" s="9">
        <v>9</v>
      </c>
      <c r="D47" s="9" t="str">
        <f>"1495"</f>
        <v>1495</v>
      </c>
      <c r="E47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47" s="9" t="str">
        <f>"1"</f>
        <v>1</v>
      </c>
      <c r="G47" s="9" t="str">
        <f>"5"</f>
        <v>5</v>
      </c>
      <c r="H47" s="9" t="str">
        <f t="shared" si="1"/>
        <v>1</v>
      </c>
      <c r="I47" s="12">
        <v>-142822</v>
      </c>
    </row>
    <row r="48" spans="1:9" ht="30" x14ac:dyDescent="0.25">
      <c r="A48" s="9">
        <v>373</v>
      </c>
      <c r="B48" s="10">
        <v>44742</v>
      </c>
      <c r="C48" s="9">
        <v>9</v>
      </c>
      <c r="D48" s="9" t="str">
        <f>"1495"</f>
        <v>1495</v>
      </c>
      <c r="E48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48" s="9" t="str">
        <f>"1"</f>
        <v>1</v>
      </c>
      <c r="G48" s="9" t="str">
        <f>"7"</f>
        <v>7</v>
      </c>
      <c r="H48" s="9" t="str">
        <f t="shared" si="1"/>
        <v>1</v>
      </c>
      <c r="I48" s="12">
        <v>-12930559.060000001</v>
      </c>
    </row>
    <row r="49" spans="1:9" ht="30" x14ac:dyDescent="0.25">
      <c r="A49" s="9">
        <v>456</v>
      </c>
      <c r="B49" s="10">
        <v>44742</v>
      </c>
      <c r="C49" s="9">
        <v>9</v>
      </c>
      <c r="D49" s="9" t="str">
        <f>"1495"</f>
        <v>1495</v>
      </c>
      <c r="E49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49" s="9" t="str">
        <f>"2"</f>
        <v>2</v>
      </c>
      <c r="G49" s="9" t="str">
        <f>"4"</f>
        <v>4</v>
      </c>
      <c r="H49" s="9" t="str">
        <f>"2"</f>
        <v>2</v>
      </c>
      <c r="I49" s="12">
        <v>-61373.120000000003</v>
      </c>
    </row>
    <row r="50" spans="1:9" ht="30" x14ac:dyDescent="0.25">
      <c r="A50" s="9">
        <v>242</v>
      </c>
      <c r="B50" s="10">
        <v>44742</v>
      </c>
      <c r="C50" s="9">
        <v>9</v>
      </c>
      <c r="D50" s="9" t="str">
        <f>"1495"</f>
        <v>1495</v>
      </c>
      <c r="E50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50" s="9" t="str">
        <f>"2"</f>
        <v>2</v>
      </c>
      <c r="G50" s="9" t="str">
        <f>"5"</f>
        <v>5</v>
      </c>
      <c r="H50" s="9" t="str">
        <f>"2"</f>
        <v>2</v>
      </c>
      <c r="I50" s="12">
        <v>-774842.82</v>
      </c>
    </row>
    <row r="51" spans="1:9" x14ac:dyDescent="0.25">
      <c r="A51" s="9">
        <v>38</v>
      </c>
      <c r="B51" s="10">
        <v>44742</v>
      </c>
      <c r="C51" s="9">
        <v>9</v>
      </c>
      <c r="D51" s="9" t="str">
        <f>"1602"</f>
        <v>1602</v>
      </c>
      <c r="E51" s="11" t="str">
        <f>"Прочие запасы"</f>
        <v>Прочие запасы</v>
      </c>
      <c r="F51" s="9" t="str">
        <f>""</f>
        <v/>
      </c>
      <c r="G51" s="9" t="str">
        <f>""</f>
        <v/>
      </c>
      <c r="H51" s="9" t="str">
        <f>""</f>
        <v/>
      </c>
      <c r="I51" s="12">
        <v>342113521.25</v>
      </c>
    </row>
    <row r="52" spans="1:9" x14ac:dyDescent="0.25">
      <c r="A52" s="9">
        <v>374</v>
      </c>
      <c r="B52" s="10">
        <v>44742</v>
      </c>
      <c r="C52" s="9">
        <v>9</v>
      </c>
      <c r="D52" s="9" t="str">
        <f>"1610"</f>
        <v>1610</v>
      </c>
      <c r="E52" s="11" t="str">
        <f>"Долгосрочные активы, предназначенные для продажи"</f>
        <v>Долгосрочные активы, предназначенные для продажи</v>
      </c>
      <c r="F52" s="9" t="str">
        <f>""</f>
        <v/>
      </c>
      <c r="G52" s="9" t="str">
        <f>""</f>
        <v/>
      </c>
      <c r="H52" s="9" t="str">
        <f>""</f>
        <v/>
      </c>
      <c r="I52" s="12">
        <v>1252809981.75</v>
      </c>
    </row>
    <row r="53" spans="1:9" x14ac:dyDescent="0.25">
      <c r="A53" s="9">
        <v>37</v>
      </c>
      <c r="B53" s="10">
        <v>44742</v>
      </c>
      <c r="C53" s="9">
        <v>9</v>
      </c>
      <c r="D53" s="9" t="str">
        <f>"1651"</f>
        <v>1651</v>
      </c>
      <c r="E53" s="11" t="str">
        <f>"Строящиеся (устанавливаемые) основные средства"</f>
        <v>Строящиеся (устанавливаемые) основные средства</v>
      </c>
      <c r="F53" s="9" t="str">
        <f>""</f>
        <v/>
      </c>
      <c r="G53" s="9" t="str">
        <f>""</f>
        <v/>
      </c>
      <c r="H53" s="9" t="str">
        <f>""</f>
        <v/>
      </c>
      <c r="I53" s="12">
        <v>59063715</v>
      </c>
    </row>
    <row r="54" spans="1:9" x14ac:dyDescent="0.25">
      <c r="A54" s="9">
        <v>153</v>
      </c>
      <c r="B54" s="10">
        <v>44742</v>
      </c>
      <c r="C54" s="9">
        <v>9</v>
      </c>
      <c r="D54" s="9" t="str">
        <f>"1652"</f>
        <v>1652</v>
      </c>
      <c r="E54" s="11" t="str">
        <f>"Земля, здания и сооружения"</f>
        <v>Земля, здания и сооружения</v>
      </c>
      <c r="F54" s="9" t="str">
        <f>""</f>
        <v/>
      </c>
      <c r="G54" s="9" t="str">
        <f>""</f>
        <v/>
      </c>
      <c r="H54" s="9" t="str">
        <f>""</f>
        <v/>
      </c>
      <c r="I54" s="12">
        <v>3099595096.9899998</v>
      </c>
    </row>
    <row r="55" spans="1:9" x14ac:dyDescent="0.25">
      <c r="A55" s="9">
        <v>42</v>
      </c>
      <c r="B55" s="10">
        <v>44742</v>
      </c>
      <c r="C55" s="9">
        <v>9</v>
      </c>
      <c r="D55" s="9" t="str">
        <f>"1653"</f>
        <v>1653</v>
      </c>
      <c r="E55" s="11" t="str">
        <f>"Компьютерное оборудование"</f>
        <v>Компьютерное оборудование</v>
      </c>
      <c r="F55" s="9" t="str">
        <f>""</f>
        <v/>
      </c>
      <c r="G55" s="9" t="str">
        <f>""</f>
        <v/>
      </c>
      <c r="H55" s="9" t="str">
        <f>""</f>
        <v/>
      </c>
      <c r="I55" s="12">
        <v>9711634493.1299992</v>
      </c>
    </row>
    <row r="56" spans="1:9" x14ac:dyDescent="0.25">
      <c r="A56" s="9">
        <v>249</v>
      </c>
      <c r="B56" s="10">
        <v>44742</v>
      </c>
      <c r="C56" s="9">
        <v>9</v>
      </c>
      <c r="D56" s="9" t="str">
        <f>"1654"</f>
        <v>1654</v>
      </c>
      <c r="E56" s="11" t="str">
        <f>"Прочие основные средства"</f>
        <v>Прочие основные средства</v>
      </c>
      <c r="F56" s="9" t="str">
        <f>""</f>
        <v/>
      </c>
      <c r="G56" s="9" t="str">
        <f>""</f>
        <v/>
      </c>
      <c r="H56" s="9" t="str">
        <f>""</f>
        <v/>
      </c>
      <c r="I56" s="12">
        <v>5462503705.75</v>
      </c>
    </row>
    <row r="57" spans="1:9" x14ac:dyDescent="0.25">
      <c r="A57" s="9">
        <v>269</v>
      </c>
      <c r="B57" s="10">
        <v>44742</v>
      </c>
      <c r="C57" s="9">
        <v>9</v>
      </c>
      <c r="D57" s="9" t="str">
        <f>"1655"</f>
        <v>1655</v>
      </c>
      <c r="E57" s="11" t="str">
        <f>"Активы в форме права пользования"</f>
        <v>Активы в форме права пользования</v>
      </c>
      <c r="F57" s="9" t="str">
        <f>""</f>
        <v/>
      </c>
      <c r="G57" s="9" t="str">
        <f>""</f>
        <v/>
      </c>
      <c r="H57" s="9" t="str">
        <f>""</f>
        <v/>
      </c>
      <c r="I57" s="12">
        <v>6827644388.8900003</v>
      </c>
    </row>
    <row r="58" spans="1:9" x14ac:dyDescent="0.25">
      <c r="A58" s="9">
        <v>181</v>
      </c>
      <c r="B58" s="10">
        <v>44742</v>
      </c>
      <c r="C58" s="9">
        <v>9</v>
      </c>
      <c r="D58" s="9" t="str">
        <f>"1657"</f>
        <v>1657</v>
      </c>
      <c r="E58" s="1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58" s="9" t="str">
        <f>""</f>
        <v/>
      </c>
      <c r="G58" s="9" t="str">
        <f>""</f>
        <v/>
      </c>
      <c r="H58" s="9" t="str">
        <f>""</f>
        <v/>
      </c>
      <c r="I58" s="12">
        <v>1100391529.46</v>
      </c>
    </row>
    <row r="59" spans="1:9" x14ac:dyDescent="0.25">
      <c r="A59" s="9">
        <v>221</v>
      </c>
      <c r="B59" s="10">
        <v>44742</v>
      </c>
      <c r="C59" s="9">
        <v>9</v>
      </c>
      <c r="D59" s="9" t="str">
        <f>"1658"</f>
        <v>1658</v>
      </c>
      <c r="E59" s="11" t="str">
        <f>"Транспортные средства"</f>
        <v>Транспортные средства</v>
      </c>
      <c r="F59" s="9" t="str">
        <f>""</f>
        <v/>
      </c>
      <c r="G59" s="9" t="str">
        <f>""</f>
        <v/>
      </c>
      <c r="H59" s="9" t="str">
        <f>""</f>
        <v/>
      </c>
      <c r="I59" s="12">
        <v>37975716</v>
      </c>
    </row>
    <row r="60" spans="1:9" x14ac:dyDescent="0.25">
      <c r="A60" s="9">
        <v>454</v>
      </c>
      <c r="B60" s="10">
        <v>44742</v>
      </c>
      <c r="C60" s="9">
        <v>9</v>
      </c>
      <c r="D60" s="9" t="str">
        <f>"1659"</f>
        <v>1659</v>
      </c>
      <c r="E60" s="11" t="str">
        <f>"Нематериальные активы"</f>
        <v>Нематериальные активы</v>
      </c>
      <c r="F60" s="9" t="str">
        <f>""</f>
        <v/>
      </c>
      <c r="G60" s="9" t="str">
        <f>""</f>
        <v/>
      </c>
      <c r="H60" s="9" t="str">
        <f>""</f>
        <v/>
      </c>
      <c r="I60" s="12">
        <v>12342780702.52</v>
      </c>
    </row>
    <row r="61" spans="1:9" x14ac:dyDescent="0.25">
      <c r="A61" s="9">
        <v>263</v>
      </c>
      <c r="B61" s="10">
        <v>44742</v>
      </c>
      <c r="C61" s="9">
        <v>9</v>
      </c>
      <c r="D61" s="9" t="str">
        <f>"1660"</f>
        <v>1660</v>
      </c>
      <c r="E61" s="11" t="str">
        <f>"Создаваемые (разрабатываемые) нематериальные активы"</f>
        <v>Создаваемые (разрабатываемые) нематериальные активы</v>
      </c>
      <c r="F61" s="9" t="str">
        <f>""</f>
        <v/>
      </c>
      <c r="G61" s="9" t="str">
        <f>""</f>
        <v/>
      </c>
      <c r="H61" s="9" t="str">
        <f>""</f>
        <v/>
      </c>
      <c r="I61" s="12">
        <v>53788036.450000003</v>
      </c>
    </row>
    <row r="62" spans="1:9" x14ac:dyDescent="0.25">
      <c r="A62" s="9">
        <v>84</v>
      </c>
      <c r="B62" s="10">
        <v>44742</v>
      </c>
      <c r="C62" s="9">
        <v>9</v>
      </c>
      <c r="D62" s="9" t="str">
        <f>"1692"</f>
        <v>1692</v>
      </c>
      <c r="E62" s="11" t="str">
        <f>"Начисленная амортизация по зданиям и сооружениям"</f>
        <v>Начисленная амортизация по зданиям и сооружениям</v>
      </c>
      <c r="F62" s="9" t="str">
        <f>""</f>
        <v/>
      </c>
      <c r="G62" s="9" t="str">
        <f>""</f>
        <v/>
      </c>
      <c r="H62" s="9" t="str">
        <f>""</f>
        <v/>
      </c>
      <c r="I62" s="12">
        <v>-101261794.06999999</v>
      </c>
    </row>
    <row r="63" spans="1:9" x14ac:dyDescent="0.25">
      <c r="A63" s="9">
        <v>254</v>
      </c>
      <c r="B63" s="10">
        <v>44742</v>
      </c>
      <c r="C63" s="9">
        <v>9</v>
      </c>
      <c r="D63" s="9" t="str">
        <f>"1693"</f>
        <v>1693</v>
      </c>
      <c r="E63" s="11" t="str">
        <f>"Начисленная амортизация по компьютерному оборудованию"</f>
        <v>Начисленная амортизация по компьютерному оборудованию</v>
      </c>
      <c r="F63" s="9" t="str">
        <f>""</f>
        <v/>
      </c>
      <c r="G63" s="9" t="str">
        <f>""</f>
        <v/>
      </c>
      <c r="H63" s="9" t="str">
        <f>""</f>
        <v/>
      </c>
      <c r="I63" s="12">
        <v>-4381429892.8100004</v>
      </c>
    </row>
    <row r="64" spans="1:9" x14ac:dyDescent="0.25">
      <c r="A64" s="9">
        <v>74</v>
      </c>
      <c r="B64" s="10">
        <v>44742</v>
      </c>
      <c r="C64" s="9">
        <v>9</v>
      </c>
      <c r="D64" s="9" t="str">
        <f>"1694"</f>
        <v>1694</v>
      </c>
      <c r="E64" s="11" t="str">
        <f>"Начисленная амортизация по прочим основным средствам"</f>
        <v>Начисленная амортизация по прочим основным средствам</v>
      </c>
      <c r="F64" s="9" t="str">
        <f>""</f>
        <v/>
      </c>
      <c r="G64" s="9" t="str">
        <f>""</f>
        <v/>
      </c>
      <c r="H64" s="9" t="str">
        <f>""</f>
        <v/>
      </c>
      <c r="I64" s="12">
        <v>-2247624960.0500002</v>
      </c>
    </row>
    <row r="65" spans="1:9" ht="30" x14ac:dyDescent="0.25">
      <c r="A65" s="9">
        <v>36</v>
      </c>
      <c r="B65" s="10">
        <v>44742</v>
      </c>
      <c r="C65" s="9">
        <v>9</v>
      </c>
      <c r="D65" s="9" t="str">
        <f>"1695"</f>
        <v>1695</v>
      </c>
      <c r="E65" s="1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65" s="9" t="str">
        <f>""</f>
        <v/>
      </c>
      <c r="G65" s="9" t="str">
        <f>""</f>
        <v/>
      </c>
      <c r="H65" s="9" t="str">
        <f>""</f>
        <v/>
      </c>
      <c r="I65" s="12">
        <v>-3040785939.6500001</v>
      </c>
    </row>
    <row r="66" spans="1:9" ht="30" x14ac:dyDescent="0.25">
      <c r="A66" s="9">
        <v>183</v>
      </c>
      <c r="B66" s="10">
        <v>44742</v>
      </c>
      <c r="C66" s="9">
        <v>9</v>
      </c>
      <c r="D66" s="9" t="str">
        <f>"1697"</f>
        <v>1697</v>
      </c>
      <c r="E66" s="1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66" s="9" t="str">
        <f>""</f>
        <v/>
      </c>
      <c r="G66" s="9" t="str">
        <f>""</f>
        <v/>
      </c>
      <c r="H66" s="9" t="str">
        <f>""</f>
        <v/>
      </c>
      <c r="I66" s="12">
        <v>-683139609.97000003</v>
      </c>
    </row>
    <row r="67" spans="1:9" x14ac:dyDescent="0.25">
      <c r="A67" s="9">
        <v>87</v>
      </c>
      <c r="B67" s="10">
        <v>44742</v>
      </c>
      <c r="C67" s="9">
        <v>9</v>
      </c>
      <c r="D67" s="9" t="str">
        <f>"1698"</f>
        <v>1698</v>
      </c>
      <c r="E67" s="11" t="str">
        <f>"Начисленная амортизация по транспортным средствам"</f>
        <v>Начисленная амортизация по транспортным средствам</v>
      </c>
      <c r="F67" s="9" t="str">
        <f>""</f>
        <v/>
      </c>
      <c r="G67" s="9" t="str">
        <f>""</f>
        <v/>
      </c>
      <c r="H67" s="9" t="str">
        <f>""</f>
        <v/>
      </c>
      <c r="I67" s="12">
        <v>-28283267.300000001</v>
      </c>
    </row>
    <row r="68" spans="1:9" x14ac:dyDescent="0.25">
      <c r="A68" s="9">
        <v>39</v>
      </c>
      <c r="B68" s="10">
        <v>44742</v>
      </c>
      <c r="C68" s="9">
        <v>9</v>
      </c>
      <c r="D68" s="9" t="str">
        <f>"1699"</f>
        <v>1699</v>
      </c>
      <c r="E68" s="11" t="str">
        <f>"Начисленная амортизация по нематериальным активам"</f>
        <v>Начисленная амортизация по нематериальным активам</v>
      </c>
      <c r="F68" s="9" t="str">
        <f>""</f>
        <v/>
      </c>
      <c r="G68" s="9" t="str">
        <f>""</f>
        <v/>
      </c>
      <c r="H68" s="9" t="str">
        <f>""</f>
        <v/>
      </c>
      <c r="I68" s="12">
        <v>-4655728885.6000004</v>
      </c>
    </row>
    <row r="69" spans="1:9" ht="45" x14ac:dyDescent="0.25">
      <c r="A69" s="9">
        <v>201</v>
      </c>
      <c r="B69" s="10">
        <v>44742</v>
      </c>
      <c r="C69" s="9">
        <v>9</v>
      </c>
      <c r="D69" s="9" t="str">
        <f>"1728"</f>
        <v>1728</v>
      </c>
      <c r="E69" s="11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69" s="9" t="str">
        <f>"2"</f>
        <v>2</v>
      </c>
      <c r="G69" s="9" t="str">
        <f>"5"</f>
        <v>5</v>
      </c>
      <c r="H69" s="9" t="str">
        <f>"2"</f>
        <v>2</v>
      </c>
      <c r="I69" s="12">
        <v>121173162.72</v>
      </c>
    </row>
    <row r="70" spans="1:9" ht="30" x14ac:dyDescent="0.25">
      <c r="A70" s="9">
        <v>289</v>
      </c>
      <c r="B70" s="10">
        <v>44742</v>
      </c>
      <c r="C70" s="9">
        <v>9</v>
      </c>
      <c r="D70" s="9" t="str">
        <f>"1730"</f>
        <v>1730</v>
      </c>
      <c r="E70" s="11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70" s="9" t="str">
        <f>"2"</f>
        <v>2</v>
      </c>
      <c r="G70" s="9" t="str">
        <f>"4"</f>
        <v>4</v>
      </c>
      <c r="H70" s="9" t="str">
        <f>"2"</f>
        <v>2</v>
      </c>
      <c r="I70" s="12">
        <v>71647856.370000005</v>
      </c>
    </row>
    <row r="71" spans="1:9" ht="30" x14ac:dyDescent="0.25">
      <c r="A71" s="9">
        <v>88</v>
      </c>
      <c r="B71" s="10">
        <v>44742</v>
      </c>
      <c r="C71" s="9">
        <v>9</v>
      </c>
      <c r="D71" s="9" t="str">
        <f>"1730"</f>
        <v>1730</v>
      </c>
      <c r="E71" s="11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71" s="9" t="str">
        <f>"2"</f>
        <v>2</v>
      </c>
      <c r="G71" s="9" t="str">
        <f>"4"</f>
        <v>4</v>
      </c>
      <c r="H71" s="9" t="str">
        <f>"3"</f>
        <v>3</v>
      </c>
      <c r="I71" s="12">
        <v>1092301.1599999999</v>
      </c>
    </row>
    <row r="72" spans="1:9" ht="30" x14ac:dyDescent="0.25">
      <c r="A72" s="9">
        <v>5</v>
      </c>
      <c r="B72" s="10">
        <v>44742</v>
      </c>
      <c r="C72" s="9">
        <v>9</v>
      </c>
      <c r="D72" s="9" t="str">
        <f>"1740"</f>
        <v>1740</v>
      </c>
      <c r="E72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2" s="9" t="str">
        <f>"1"</f>
        <v>1</v>
      </c>
      <c r="G72" s="9" t="str">
        <f>"7"</f>
        <v>7</v>
      </c>
      <c r="H72" s="9" t="str">
        <f t="shared" ref="H72:H86" si="2">"1"</f>
        <v>1</v>
      </c>
      <c r="I72" s="12">
        <v>88153586.719999999</v>
      </c>
    </row>
    <row r="73" spans="1:9" ht="30" x14ac:dyDescent="0.25">
      <c r="A73" s="9">
        <v>152</v>
      </c>
      <c r="B73" s="10">
        <v>44742</v>
      </c>
      <c r="C73" s="9">
        <v>9</v>
      </c>
      <c r="D73" s="9" t="str">
        <f>"1740"</f>
        <v>1740</v>
      </c>
      <c r="E73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3" s="9" t="str">
        <f>"1"</f>
        <v>1</v>
      </c>
      <c r="G73" s="9" t="str">
        <f>"9"</f>
        <v>9</v>
      </c>
      <c r="H73" s="9" t="str">
        <f t="shared" si="2"/>
        <v>1</v>
      </c>
      <c r="I73" s="12">
        <v>1557535914.3099999</v>
      </c>
    </row>
    <row r="74" spans="1:9" ht="30" x14ac:dyDescent="0.25">
      <c r="A74" s="9">
        <v>408</v>
      </c>
      <c r="B74" s="10">
        <v>44742</v>
      </c>
      <c r="C74" s="9">
        <v>9</v>
      </c>
      <c r="D74" s="9" t="str">
        <f>"1740"</f>
        <v>1740</v>
      </c>
      <c r="E74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4" s="9" t="str">
        <f>"2"</f>
        <v>2</v>
      </c>
      <c r="G74" s="9" t="str">
        <f>"9"</f>
        <v>9</v>
      </c>
      <c r="H74" s="9" t="str">
        <f t="shared" si="2"/>
        <v>1</v>
      </c>
      <c r="I74" s="12">
        <v>10140.52</v>
      </c>
    </row>
    <row r="75" spans="1:9" ht="30" x14ac:dyDescent="0.25">
      <c r="A75" s="9">
        <v>151</v>
      </c>
      <c r="B75" s="10">
        <v>44742</v>
      </c>
      <c r="C75" s="9">
        <v>9</v>
      </c>
      <c r="D75" s="9" t="str">
        <f>"1741"</f>
        <v>1741</v>
      </c>
      <c r="E75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75" s="9" t="str">
        <f>"1"</f>
        <v>1</v>
      </c>
      <c r="G75" s="9" t="str">
        <f>"7"</f>
        <v>7</v>
      </c>
      <c r="H75" s="9" t="str">
        <f t="shared" si="2"/>
        <v>1</v>
      </c>
      <c r="I75" s="12">
        <v>192540832.19</v>
      </c>
    </row>
    <row r="76" spans="1:9" ht="30" x14ac:dyDescent="0.25">
      <c r="A76" s="9">
        <v>40</v>
      </c>
      <c r="B76" s="10">
        <v>44742</v>
      </c>
      <c r="C76" s="9">
        <v>9</v>
      </c>
      <c r="D76" s="9" t="str">
        <f>"1741"</f>
        <v>1741</v>
      </c>
      <c r="E76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76" s="9" t="str">
        <f>"1"</f>
        <v>1</v>
      </c>
      <c r="G76" s="9" t="str">
        <f>"9"</f>
        <v>9</v>
      </c>
      <c r="H76" s="9" t="str">
        <f t="shared" si="2"/>
        <v>1</v>
      </c>
      <c r="I76" s="12">
        <v>3020738963.7800002</v>
      </c>
    </row>
    <row r="77" spans="1:9" ht="30" x14ac:dyDescent="0.25">
      <c r="A77" s="9">
        <v>220</v>
      </c>
      <c r="B77" s="10">
        <v>44742</v>
      </c>
      <c r="C77" s="9">
        <v>9</v>
      </c>
      <c r="D77" s="9" t="str">
        <f>"1741"</f>
        <v>1741</v>
      </c>
      <c r="E77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77" s="9" t="str">
        <f>"2"</f>
        <v>2</v>
      </c>
      <c r="G77" s="9" t="str">
        <f>"9"</f>
        <v>9</v>
      </c>
      <c r="H77" s="9" t="str">
        <f t="shared" si="2"/>
        <v>1</v>
      </c>
      <c r="I77" s="12">
        <v>53294.65</v>
      </c>
    </row>
    <row r="78" spans="1:9" x14ac:dyDescent="0.25">
      <c r="A78" s="9">
        <v>320</v>
      </c>
      <c r="B78" s="10">
        <v>44742</v>
      </c>
      <c r="C78" s="9">
        <v>9</v>
      </c>
      <c r="D78" s="9" t="str">
        <f t="shared" ref="D78:D83" si="3">"1793"</f>
        <v>1793</v>
      </c>
      <c r="E78" s="11" t="str">
        <f t="shared" ref="E78:E83" si="4">"Расходы будущих периодов"</f>
        <v>Расходы будущих периодов</v>
      </c>
      <c r="F78" s="9" t="str">
        <f>"1"</f>
        <v>1</v>
      </c>
      <c r="G78" s="9" t="str">
        <f>"5"</f>
        <v>5</v>
      </c>
      <c r="H78" s="9" t="str">
        <f t="shared" si="2"/>
        <v>1</v>
      </c>
      <c r="I78" s="12">
        <v>19217941.890000001</v>
      </c>
    </row>
    <row r="79" spans="1:9" x14ac:dyDescent="0.25">
      <c r="A79" s="9">
        <v>162</v>
      </c>
      <c r="B79" s="10">
        <v>44742</v>
      </c>
      <c r="C79" s="9">
        <v>9</v>
      </c>
      <c r="D79" s="9" t="str">
        <f t="shared" si="3"/>
        <v>1793</v>
      </c>
      <c r="E79" s="11" t="str">
        <f t="shared" si="4"/>
        <v>Расходы будущих периодов</v>
      </c>
      <c r="F79" s="9" t="str">
        <f>"1"</f>
        <v>1</v>
      </c>
      <c r="G79" s="9" t="str">
        <f>"7"</f>
        <v>7</v>
      </c>
      <c r="H79" s="9" t="str">
        <f t="shared" si="2"/>
        <v>1</v>
      </c>
      <c r="I79" s="12">
        <v>543040766.54999995</v>
      </c>
    </row>
    <row r="80" spans="1:9" x14ac:dyDescent="0.25">
      <c r="A80" s="9">
        <v>268</v>
      </c>
      <c r="B80" s="10">
        <v>44742</v>
      </c>
      <c r="C80" s="9">
        <v>9</v>
      </c>
      <c r="D80" s="9" t="str">
        <f t="shared" si="3"/>
        <v>1793</v>
      </c>
      <c r="E80" s="11" t="str">
        <f t="shared" si="4"/>
        <v>Расходы будущих периодов</v>
      </c>
      <c r="F80" s="9" t="str">
        <f>"1"</f>
        <v>1</v>
      </c>
      <c r="G80" s="9" t="str">
        <f>"8"</f>
        <v>8</v>
      </c>
      <c r="H80" s="9" t="str">
        <f t="shared" si="2"/>
        <v>1</v>
      </c>
      <c r="I80" s="12">
        <v>5177944.97</v>
      </c>
    </row>
    <row r="81" spans="1:9" x14ac:dyDescent="0.25">
      <c r="A81" s="9">
        <v>112</v>
      </c>
      <c r="B81" s="10">
        <v>44742</v>
      </c>
      <c r="C81" s="9">
        <v>9</v>
      </c>
      <c r="D81" s="9" t="str">
        <f t="shared" si="3"/>
        <v>1793</v>
      </c>
      <c r="E81" s="11" t="str">
        <f t="shared" si="4"/>
        <v>Расходы будущих периодов</v>
      </c>
      <c r="F81" s="9" t="str">
        <f>"1"</f>
        <v>1</v>
      </c>
      <c r="G81" s="9" t="str">
        <f>"9"</f>
        <v>9</v>
      </c>
      <c r="H81" s="9" t="str">
        <f t="shared" si="2"/>
        <v>1</v>
      </c>
      <c r="I81" s="12">
        <v>260302.9</v>
      </c>
    </row>
    <row r="82" spans="1:9" x14ac:dyDescent="0.25">
      <c r="A82" s="9">
        <v>8</v>
      </c>
      <c r="B82" s="10">
        <v>44742</v>
      </c>
      <c r="C82" s="9">
        <v>9</v>
      </c>
      <c r="D82" s="9" t="str">
        <f t="shared" si="3"/>
        <v>1793</v>
      </c>
      <c r="E82" s="11" t="str">
        <f t="shared" si="4"/>
        <v>Расходы будущих периодов</v>
      </c>
      <c r="F82" s="9" t="str">
        <f>"2"</f>
        <v>2</v>
      </c>
      <c r="G82" s="9" t="str">
        <f>"7"</f>
        <v>7</v>
      </c>
      <c r="H82" s="9" t="str">
        <f t="shared" si="2"/>
        <v>1</v>
      </c>
      <c r="I82" s="12">
        <v>183632851.13</v>
      </c>
    </row>
    <row r="83" spans="1:9" x14ac:dyDescent="0.25">
      <c r="A83" s="9">
        <v>305</v>
      </c>
      <c r="B83" s="10">
        <v>44742</v>
      </c>
      <c r="C83" s="9">
        <v>9</v>
      </c>
      <c r="D83" s="9" t="str">
        <f t="shared" si="3"/>
        <v>1793</v>
      </c>
      <c r="E83" s="11" t="str">
        <f t="shared" si="4"/>
        <v>Расходы будущих периодов</v>
      </c>
      <c r="F83" s="9" t="str">
        <f>"2"</f>
        <v>2</v>
      </c>
      <c r="G83" s="9" t="str">
        <f>"9"</f>
        <v>9</v>
      </c>
      <c r="H83" s="9" t="str">
        <f t="shared" si="2"/>
        <v>1</v>
      </c>
      <c r="I83" s="12">
        <v>15392.56</v>
      </c>
    </row>
    <row r="84" spans="1:9" x14ac:dyDescent="0.25">
      <c r="A84" s="9">
        <v>429</v>
      </c>
      <c r="B84" s="10">
        <v>44742</v>
      </c>
      <c r="C84" s="9">
        <v>9</v>
      </c>
      <c r="D84" s="9" t="str">
        <f>"1799"</f>
        <v>1799</v>
      </c>
      <c r="E84" s="11" t="str">
        <f>"Прочие предоплаты"</f>
        <v>Прочие предоплаты</v>
      </c>
      <c r="F84" s="9" t="str">
        <f>"1"</f>
        <v>1</v>
      </c>
      <c r="G84" s="9" t="str">
        <f>"7"</f>
        <v>7</v>
      </c>
      <c r="H84" s="9" t="str">
        <f t="shared" si="2"/>
        <v>1</v>
      </c>
      <c r="I84" s="12">
        <v>199843454.08000001</v>
      </c>
    </row>
    <row r="85" spans="1:9" x14ac:dyDescent="0.25">
      <c r="A85" s="9">
        <v>163</v>
      </c>
      <c r="B85" s="10">
        <v>44742</v>
      </c>
      <c r="C85" s="9">
        <v>9</v>
      </c>
      <c r="D85" s="9" t="str">
        <f>"1799"</f>
        <v>1799</v>
      </c>
      <c r="E85" s="11" t="str">
        <f>"Прочие предоплаты"</f>
        <v>Прочие предоплаты</v>
      </c>
      <c r="F85" s="9" t="str">
        <f>"1"</f>
        <v>1</v>
      </c>
      <c r="G85" s="9" t="str">
        <f>"9"</f>
        <v>9</v>
      </c>
      <c r="H85" s="9" t="str">
        <f t="shared" si="2"/>
        <v>1</v>
      </c>
      <c r="I85" s="12">
        <v>24627729</v>
      </c>
    </row>
    <row r="86" spans="1:9" x14ac:dyDescent="0.25">
      <c r="A86" s="9">
        <v>113</v>
      </c>
      <c r="B86" s="10">
        <v>44742</v>
      </c>
      <c r="C86" s="9">
        <v>9</v>
      </c>
      <c r="D86" s="9" t="str">
        <f>"1799"</f>
        <v>1799</v>
      </c>
      <c r="E86" s="11" t="str">
        <f>"Прочие предоплаты"</f>
        <v>Прочие предоплаты</v>
      </c>
      <c r="F86" s="9" t="str">
        <f>"2"</f>
        <v>2</v>
      </c>
      <c r="G86" s="9" t="str">
        <f>"7"</f>
        <v>7</v>
      </c>
      <c r="H86" s="9" t="str">
        <f t="shared" si="2"/>
        <v>1</v>
      </c>
      <c r="I86" s="12">
        <v>36208683.960000001</v>
      </c>
    </row>
    <row r="87" spans="1:9" x14ac:dyDescent="0.25">
      <c r="A87" s="9">
        <v>453</v>
      </c>
      <c r="B87" s="10">
        <v>44742</v>
      </c>
      <c r="C87" s="9">
        <v>9</v>
      </c>
      <c r="D87" s="9" t="str">
        <f>"1799"</f>
        <v>1799</v>
      </c>
      <c r="E87" s="11" t="str">
        <f>"Прочие предоплаты"</f>
        <v>Прочие предоплаты</v>
      </c>
      <c r="F87" s="9" t="str">
        <f>"2"</f>
        <v>2</v>
      </c>
      <c r="G87" s="9" t="str">
        <f>"7"</f>
        <v>7</v>
      </c>
      <c r="H87" s="9" t="str">
        <f>"2"</f>
        <v>2</v>
      </c>
      <c r="I87" s="12">
        <v>4704495.8899999997</v>
      </c>
    </row>
    <row r="88" spans="1:9" ht="30" x14ac:dyDescent="0.25">
      <c r="A88" s="9">
        <v>125</v>
      </c>
      <c r="B88" s="10">
        <v>44742</v>
      </c>
      <c r="C88" s="9">
        <v>9</v>
      </c>
      <c r="D88" s="9" t="str">
        <f>"1813"</f>
        <v>1813</v>
      </c>
      <c r="E88" s="11" t="str">
        <f>"Начисленные комиссионные доходы за услуги по купле-продаже ценных бумаг"</f>
        <v>Начисленные комиссионные доходы за услуги по купле-продаже ценных бумаг</v>
      </c>
      <c r="F88" s="9" t="str">
        <f>"1"</f>
        <v>1</v>
      </c>
      <c r="G88" s="9" t="str">
        <f>""</f>
        <v/>
      </c>
      <c r="H88" s="9" t="str">
        <f t="shared" ref="H88:H95" si="5">"1"</f>
        <v>1</v>
      </c>
      <c r="I88" s="12">
        <v>1673.24</v>
      </c>
    </row>
    <row r="89" spans="1:9" ht="30" x14ac:dyDescent="0.25">
      <c r="A89" s="9">
        <v>306</v>
      </c>
      <c r="B89" s="10">
        <v>44742</v>
      </c>
      <c r="C89" s="9">
        <v>9</v>
      </c>
      <c r="D89" s="9" t="str">
        <f>"1816"</f>
        <v>1816</v>
      </c>
      <c r="E89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9" s="9" t="str">
        <f>"2"</f>
        <v>2</v>
      </c>
      <c r="G89" s="9" t="str">
        <f>""</f>
        <v/>
      </c>
      <c r="H89" s="9" t="str">
        <f t="shared" si="5"/>
        <v>1</v>
      </c>
      <c r="I89" s="12">
        <v>121333.33</v>
      </c>
    </row>
    <row r="90" spans="1:9" ht="30" x14ac:dyDescent="0.25">
      <c r="A90" s="9">
        <v>379</v>
      </c>
      <c r="B90" s="10">
        <v>44742</v>
      </c>
      <c r="C90" s="9">
        <v>9</v>
      </c>
      <c r="D90" s="9" t="str">
        <f>"1817"</f>
        <v>1817</v>
      </c>
      <c r="E90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90" s="9" t="str">
        <f>"1"</f>
        <v>1</v>
      </c>
      <c r="G90" s="9" t="str">
        <f>""</f>
        <v/>
      </c>
      <c r="H90" s="9" t="str">
        <f t="shared" si="5"/>
        <v>1</v>
      </c>
      <c r="I90" s="12">
        <v>18166966.68</v>
      </c>
    </row>
    <row r="91" spans="1:9" x14ac:dyDescent="0.25">
      <c r="A91" s="9">
        <v>9</v>
      </c>
      <c r="B91" s="10">
        <v>44742</v>
      </c>
      <c r="C91" s="9">
        <v>9</v>
      </c>
      <c r="D91" s="9" t="str">
        <f>"1818"</f>
        <v>1818</v>
      </c>
      <c r="E91" s="11" t="str">
        <f>"Начисленные прочие комиссионные доходы"</f>
        <v>Начисленные прочие комиссионные доходы</v>
      </c>
      <c r="F91" s="9" t="str">
        <f>"1"</f>
        <v>1</v>
      </c>
      <c r="G91" s="9" t="str">
        <f>""</f>
        <v/>
      </c>
      <c r="H91" s="9" t="str">
        <f t="shared" si="5"/>
        <v>1</v>
      </c>
      <c r="I91" s="12">
        <v>20000</v>
      </c>
    </row>
    <row r="92" spans="1:9" ht="30" x14ac:dyDescent="0.25">
      <c r="A92" s="9">
        <v>41</v>
      </c>
      <c r="B92" s="10">
        <v>44742</v>
      </c>
      <c r="C92" s="9">
        <v>9</v>
      </c>
      <c r="D92" s="9" t="str">
        <f>"1831"</f>
        <v>1831</v>
      </c>
      <c r="E92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92" s="9" t="str">
        <f>"1"</f>
        <v>1</v>
      </c>
      <c r="G92" s="9" t="str">
        <f>""</f>
        <v/>
      </c>
      <c r="H92" s="9" t="str">
        <f t="shared" si="5"/>
        <v>1</v>
      </c>
      <c r="I92" s="12">
        <v>8540394.7200000007</v>
      </c>
    </row>
    <row r="93" spans="1:9" ht="30" x14ac:dyDescent="0.25">
      <c r="A93" s="9">
        <v>2</v>
      </c>
      <c r="B93" s="10">
        <v>44742</v>
      </c>
      <c r="C93" s="9">
        <v>9</v>
      </c>
      <c r="D93" s="9" t="str">
        <f>"1831"</f>
        <v>1831</v>
      </c>
      <c r="E93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93" s="9" t="str">
        <f>"2"</f>
        <v>2</v>
      </c>
      <c r="G93" s="9" t="str">
        <f>""</f>
        <v/>
      </c>
      <c r="H93" s="9" t="str">
        <f t="shared" si="5"/>
        <v>1</v>
      </c>
      <c r="I93" s="12">
        <v>20800</v>
      </c>
    </row>
    <row r="94" spans="1:9" ht="30" x14ac:dyDescent="0.25">
      <c r="A94" s="9">
        <v>184</v>
      </c>
      <c r="B94" s="10">
        <v>44742</v>
      </c>
      <c r="C94" s="9">
        <v>9</v>
      </c>
      <c r="D94" s="9" t="str">
        <f>"1836"</f>
        <v>1836</v>
      </c>
      <c r="E94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94" s="9" t="str">
        <f>"1"</f>
        <v>1</v>
      </c>
      <c r="G94" s="9" t="str">
        <f>""</f>
        <v/>
      </c>
      <c r="H94" s="9" t="str">
        <f t="shared" si="5"/>
        <v>1</v>
      </c>
      <c r="I94" s="12">
        <v>2394807.96</v>
      </c>
    </row>
    <row r="95" spans="1:9" ht="30" x14ac:dyDescent="0.25">
      <c r="A95" s="9">
        <v>295</v>
      </c>
      <c r="B95" s="10">
        <v>44742</v>
      </c>
      <c r="C95" s="9">
        <v>9</v>
      </c>
      <c r="D95" s="9" t="str">
        <f>"1837"</f>
        <v>1837</v>
      </c>
      <c r="E95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95" s="9" t="str">
        <f>"1"</f>
        <v>1</v>
      </c>
      <c r="G95" s="9" t="str">
        <f>""</f>
        <v/>
      </c>
      <c r="H95" s="9" t="str">
        <f t="shared" si="5"/>
        <v>1</v>
      </c>
      <c r="I95" s="12">
        <v>798421504.32000005</v>
      </c>
    </row>
    <row r="96" spans="1:9" ht="30" x14ac:dyDescent="0.25">
      <c r="A96" s="9">
        <v>380</v>
      </c>
      <c r="B96" s="10">
        <v>44742</v>
      </c>
      <c r="C96" s="9">
        <v>9</v>
      </c>
      <c r="D96" s="9" t="str">
        <f>"1837"</f>
        <v>1837</v>
      </c>
      <c r="E96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96" s="9" t="str">
        <f>"1"</f>
        <v>1</v>
      </c>
      <c r="G96" s="9" t="str">
        <f>""</f>
        <v/>
      </c>
      <c r="H96" s="9" t="str">
        <f>"2"</f>
        <v>2</v>
      </c>
      <c r="I96" s="12">
        <v>17222.88</v>
      </c>
    </row>
    <row r="97" spans="1:9" ht="30" x14ac:dyDescent="0.25">
      <c r="A97" s="9">
        <v>407</v>
      </c>
      <c r="B97" s="10">
        <v>44742</v>
      </c>
      <c r="C97" s="9">
        <v>9</v>
      </c>
      <c r="D97" s="9" t="str">
        <f>"1837"</f>
        <v>1837</v>
      </c>
      <c r="E97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97" s="9" t="str">
        <f>"1"</f>
        <v>1</v>
      </c>
      <c r="G97" s="9" t="str">
        <f>""</f>
        <v/>
      </c>
      <c r="H97" s="9" t="str">
        <f>"3"</f>
        <v>3</v>
      </c>
      <c r="I97" s="12">
        <v>26216.67</v>
      </c>
    </row>
    <row r="98" spans="1:9" ht="30" x14ac:dyDescent="0.25">
      <c r="A98" s="9">
        <v>129</v>
      </c>
      <c r="B98" s="10">
        <v>44742</v>
      </c>
      <c r="C98" s="9">
        <v>9</v>
      </c>
      <c r="D98" s="9" t="str">
        <f>"1837"</f>
        <v>1837</v>
      </c>
      <c r="E98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98" s="9" t="str">
        <f>"2"</f>
        <v>2</v>
      </c>
      <c r="G98" s="9" t="str">
        <f>""</f>
        <v/>
      </c>
      <c r="H98" s="9" t="str">
        <f>"1"</f>
        <v>1</v>
      </c>
      <c r="I98" s="12">
        <v>11516567.050000001</v>
      </c>
    </row>
    <row r="99" spans="1:9" x14ac:dyDescent="0.25">
      <c r="A99" s="9">
        <v>322</v>
      </c>
      <c r="B99" s="10">
        <v>44742</v>
      </c>
      <c r="C99" s="9">
        <v>9</v>
      </c>
      <c r="D99" s="9" t="str">
        <f>"1838"</f>
        <v>1838</v>
      </c>
      <c r="E99" s="11" t="str">
        <f>"Просроченные прочие комиссионные доходы"</f>
        <v>Просроченные прочие комиссионные доходы</v>
      </c>
      <c r="F99" s="9" t="str">
        <f>"1"</f>
        <v>1</v>
      </c>
      <c r="G99" s="9" t="str">
        <f>""</f>
        <v/>
      </c>
      <c r="H99" s="9" t="str">
        <f>"1"</f>
        <v>1</v>
      </c>
      <c r="I99" s="12">
        <v>8975286.2400000002</v>
      </c>
    </row>
    <row r="100" spans="1:9" x14ac:dyDescent="0.25">
      <c r="A100" s="9">
        <v>126</v>
      </c>
      <c r="B100" s="10">
        <v>44742</v>
      </c>
      <c r="C100" s="9">
        <v>9</v>
      </c>
      <c r="D100" s="9" t="str">
        <f>"1838"</f>
        <v>1838</v>
      </c>
      <c r="E100" s="11" t="str">
        <f>"Просроченные прочие комиссионные доходы"</f>
        <v>Просроченные прочие комиссионные доходы</v>
      </c>
      <c r="F100" s="9" t="str">
        <f>"1"</f>
        <v>1</v>
      </c>
      <c r="G100" s="9" t="str">
        <f>""</f>
        <v/>
      </c>
      <c r="H100" s="9" t="str">
        <f>"2"</f>
        <v>2</v>
      </c>
      <c r="I100" s="12">
        <v>230.47</v>
      </c>
    </row>
    <row r="101" spans="1:9" x14ac:dyDescent="0.25">
      <c r="A101" s="9">
        <v>6</v>
      </c>
      <c r="B101" s="10">
        <v>44742</v>
      </c>
      <c r="C101" s="9">
        <v>9</v>
      </c>
      <c r="D101" s="9" t="str">
        <f>"1838"</f>
        <v>1838</v>
      </c>
      <c r="E101" s="11" t="str">
        <f>"Просроченные прочие комиссионные доходы"</f>
        <v>Просроченные прочие комиссионные доходы</v>
      </c>
      <c r="F101" s="9" t="str">
        <f>"1"</f>
        <v>1</v>
      </c>
      <c r="G101" s="9" t="str">
        <f>""</f>
        <v/>
      </c>
      <c r="H101" s="9" t="str">
        <f>"3"</f>
        <v>3</v>
      </c>
      <c r="I101" s="12">
        <v>997.23</v>
      </c>
    </row>
    <row r="102" spans="1:9" x14ac:dyDescent="0.25">
      <c r="A102" s="9">
        <v>348</v>
      </c>
      <c r="B102" s="10">
        <v>44742</v>
      </c>
      <c r="C102" s="9">
        <v>9</v>
      </c>
      <c r="D102" s="9" t="str">
        <f>"1838"</f>
        <v>1838</v>
      </c>
      <c r="E102" s="11" t="str">
        <f>"Просроченные прочие комиссионные доходы"</f>
        <v>Просроченные прочие комиссионные доходы</v>
      </c>
      <c r="F102" s="9" t="str">
        <f>"2"</f>
        <v>2</v>
      </c>
      <c r="G102" s="9" t="str">
        <f>""</f>
        <v/>
      </c>
      <c r="H102" s="9" t="str">
        <f>"1"</f>
        <v>1</v>
      </c>
      <c r="I102" s="12">
        <v>18900</v>
      </c>
    </row>
    <row r="103" spans="1:9" ht="30" x14ac:dyDescent="0.25">
      <c r="A103" s="9">
        <v>154</v>
      </c>
      <c r="B103" s="10">
        <v>44742</v>
      </c>
      <c r="C103" s="9">
        <v>9</v>
      </c>
      <c r="D103" s="9" t="str">
        <f>"1841"</f>
        <v>1841</v>
      </c>
      <c r="E103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03" s="9" t="str">
        <f>"1"</f>
        <v>1</v>
      </c>
      <c r="G103" s="9" t="str">
        <f>""</f>
        <v/>
      </c>
      <c r="H103" s="9" t="str">
        <f>"1"</f>
        <v>1</v>
      </c>
      <c r="I103" s="12">
        <v>5666942.75</v>
      </c>
    </row>
    <row r="104" spans="1:9" ht="30" x14ac:dyDescent="0.25">
      <c r="A104" s="9">
        <v>343</v>
      </c>
      <c r="B104" s="10">
        <v>44742</v>
      </c>
      <c r="C104" s="9">
        <v>9</v>
      </c>
      <c r="D104" s="9" t="str">
        <f>"1841"</f>
        <v>1841</v>
      </c>
      <c r="E104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04" s="9" t="str">
        <f>"1"</f>
        <v>1</v>
      </c>
      <c r="G104" s="9" t="str">
        <f>""</f>
        <v/>
      </c>
      <c r="H104" s="9" t="str">
        <f>"3"</f>
        <v>3</v>
      </c>
      <c r="I104" s="12">
        <v>2021.22</v>
      </c>
    </row>
    <row r="105" spans="1:9" ht="30" x14ac:dyDescent="0.25">
      <c r="A105" s="9">
        <v>353</v>
      </c>
      <c r="B105" s="10">
        <v>44742</v>
      </c>
      <c r="C105" s="9">
        <v>9</v>
      </c>
      <c r="D105" s="9" t="str">
        <f>"1845"</f>
        <v>1845</v>
      </c>
      <c r="E105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05" s="9" t="str">
        <f>"1"</f>
        <v>1</v>
      </c>
      <c r="G105" s="9" t="str">
        <f>""</f>
        <v/>
      </c>
      <c r="H105" s="9" t="str">
        <f>"1"</f>
        <v>1</v>
      </c>
      <c r="I105" s="12">
        <v>-758180377.97000003</v>
      </c>
    </row>
    <row r="106" spans="1:9" x14ac:dyDescent="0.25">
      <c r="A106" s="9">
        <v>271</v>
      </c>
      <c r="B106" s="10">
        <v>44742</v>
      </c>
      <c r="C106" s="9">
        <v>9</v>
      </c>
      <c r="D106" s="9" t="str">
        <f>"1851"</f>
        <v>1851</v>
      </c>
      <c r="E106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06" s="9" t="str">
        <f>"1"</f>
        <v>1</v>
      </c>
      <c r="G106" s="9" t="str">
        <f>"1"</f>
        <v>1</v>
      </c>
      <c r="H106" s="9" t="str">
        <f>"1"</f>
        <v>1</v>
      </c>
      <c r="I106" s="12">
        <v>910322534.87</v>
      </c>
    </row>
    <row r="107" spans="1:9" x14ac:dyDescent="0.25">
      <c r="A107" s="9">
        <v>433</v>
      </c>
      <c r="B107" s="10">
        <v>44742</v>
      </c>
      <c r="C107" s="9">
        <v>9</v>
      </c>
      <c r="D107" s="9" t="str">
        <f>"1854"</f>
        <v>1854</v>
      </c>
      <c r="E107" s="11" t="str">
        <f>"Расчеты с работниками"</f>
        <v>Расчеты с работниками</v>
      </c>
      <c r="F107" s="9" t="str">
        <f>""</f>
        <v/>
      </c>
      <c r="G107" s="9" t="str">
        <f>""</f>
        <v/>
      </c>
      <c r="H107" s="9" t="str">
        <f>""</f>
        <v/>
      </c>
      <c r="I107" s="12">
        <v>10617937.199999999</v>
      </c>
    </row>
    <row r="108" spans="1:9" x14ac:dyDescent="0.25">
      <c r="A108" s="9">
        <v>130</v>
      </c>
      <c r="B108" s="10">
        <v>44742</v>
      </c>
      <c r="C108" s="9">
        <v>9</v>
      </c>
      <c r="D108" s="9" t="str">
        <f>"1855"</f>
        <v>1855</v>
      </c>
      <c r="E108" s="11" t="str">
        <f>"Дебиторы по документарным расчетам"</f>
        <v>Дебиторы по документарным расчетам</v>
      </c>
      <c r="F108" s="9" t="str">
        <f>"2"</f>
        <v>2</v>
      </c>
      <c r="G108" s="9" t="str">
        <f>"4"</f>
        <v>4</v>
      </c>
      <c r="H108" s="9" t="str">
        <f>"1"</f>
        <v>1</v>
      </c>
      <c r="I108" s="12">
        <v>399529.13</v>
      </c>
    </row>
    <row r="109" spans="1:9" x14ac:dyDescent="0.25">
      <c r="A109" s="9">
        <v>255</v>
      </c>
      <c r="B109" s="10">
        <v>44742</v>
      </c>
      <c r="C109" s="9">
        <v>9</v>
      </c>
      <c r="D109" s="9" t="str">
        <f>"1855"</f>
        <v>1855</v>
      </c>
      <c r="E109" s="11" t="str">
        <f>"Дебиторы по документарным расчетам"</f>
        <v>Дебиторы по документарным расчетам</v>
      </c>
      <c r="F109" s="9" t="str">
        <f>"2"</f>
        <v>2</v>
      </c>
      <c r="G109" s="9" t="str">
        <f>"4"</f>
        <v>4</v>
      </c>
      <c r="H109" s="9" t="str">
        <f>"2"</f>
        <v>2</v>
      </c>
      <c r="I109" s="12">
        <v>129121546.55</v>
      </c>
    </row>
    <row r="110" spans="1:9" x14ac:dyDescent="0.25">
      <c r="A110" s="9">
        <v>10</v>
      </c>
      <c r="B110" s="10">
        <v>44742</v>
      </c>
      <c r="C110" s="9">
        <v>9</v>
      </c>
      <c r="D110" s="9" t="str">
        <f>"1855"</f>
        <v>1855</v>
      </c>
      <c r="E110" s="11" t="str">
        <f>"Дебиторы по документарным расчетам"</f>
        <v>Дебиторы по документарным расчетам</v>
      </c>
      <c r="F110" s="9" t="str">
        <f>"2"</f>
        <v>2</v>
      </c>
      <c r="G110" s="9" t="str">
        <f>"4"</f>
        <v>4</v>
      </c>
      <c r="H110" s="9" t="str">
        <f>"3"</f>
        <v>3</v>
      </c>
      <c r="I110" s="12">
        <v>67855933.200000003</v>
      </c>
    </row>
    <row r="111" spans="1:9" x14ac:dyDescent="0.25">
      <c r="A111" s="9">
        <v>164</v>
      </c>
      <c r="B111" s="10">
        <v>44742</v>
      </c>
      <c r="C111" s="9">
        <v>9</v>
      </c>
      <c r="D111" s="9" t="str">
        <f>"1856"</f>
        <v>1856</v>
      </c>
      <c r="E111" s="11" t="str">
        <f>"Дебиторы по капитальным вложениям"</f>
        <v>Дебиторы по капитальным вложениям</v>
      </c>
      <c r="F111" s="9" t="str">
        <f>"1"</f>
        <v>1</v>
      </c>
      <c r="G111" s="9" t="str">
        <f>"7"</f>
        <v>7</v>
      </c>
      <c r="H111" s="9" t="str">
        <f>"1"</f>
        <v>1</v>
      </c>
      <c r="I111" s="12">
        <v>355943079</v>
      </c>
    </row>
    <row r="112" spans="1:9" x14ac:dyDescent="0.25">
      <c r="A112" s="9">
        <v>203</v>
      </c>
      <c r="B112" s="10">
        <v>44742</v>
      </c>
      <c r="C112" s="9">
        <v>9</v>
      </c>
      <c r="D112" s="9" t="str">
        <f>"1856"</f>
        <v>1856</v>
      </c>
      <c r="E112" s="11" t="str">
        <f>"Дебиторы по капитальным вложениям"</f>
        <v>Дебиторы по капитальным вложениям</v>
      </c>
      <c r="F112" s="9" t="str">
        <f>"2"</f>
        <v>2</v>
      </c>
      <c r="G112" s="9" t="str">
        <f>"7"</f>
        <v>7</v>
      </c>
      <c r="H112" s="9" t="str">
        <f>"1"</f>
        <v>1</v>
      </c>
      <c r="I112" s="12">
        <v>49699094.350000001</v>
      </c>
    </row>
    <row r="113" spans="1:9" x14ac:dyDescent="0.25">
      <c r="A113" s="9">
        <v>224</v>
      </c>
      <c r="B113" s="10">
        <v>44742</v>
      </c>
      <c r="C113" s="9">
        <v>9</v>
      </c>
      <c r="D113" s="9" t="str">
        <f>"1857"</f>
        <v>1857</v>
      </c>
      <c r="E113" s="11" t="str">
        <f>"Отложенные налоговые активы"</f>
        <v>Отложенные налоговые активы</v>
      </c>
      <c r="F113" s="9" t="str">
        <f>""</f>
        <v/>
      </c>
      <c r="G113" s="9" t="str">
        <f>""</f>
        <v/>
      </c>
      <c r="H113" s="9" t="str">
        <f>""</f>
        <v/>
      </c>
      <c r="I113" s="12">
        <v>569312202.75999999</v>
      </c>
    </row>
    <row r="114" spans="1:9" x14ac:dyDescent="0.25">
      <c r="A114" s="9">
        <v>360</v>
      </c>
      <c r="B114" s="10">
        <v>44742</v>
      </c>
      <c r="C114" s="9">
        <v>9</v>
      </c>
      <c r="D114" s="9" t="str">
        <f t="shared" ref="D114:D127" si="6">"1860"</f>
        <v>1860</v>
      </c>
      <c r="E114" s="11" t="str">
        <f t="shared" ref="E114:E127" si="7">"Прочие дебиторы по банковской деятельности"</f>
        <v>Прочие дебиторы по банковской деятельности</v>
      </c>
      <c r="F114" s="9" t="str">
        <f t="shared" ref="F114:F123" si="8">"1"</f>
        <v>1</v>
      </c>
      <c r="G114" s="9" t="str">
        <f>"4"</f>
        <v>4</v>
      </c>
      <c r="H114" s="9" t="str">
        <f>"1"</f>
        <v>1</v>
      </c>
      <c r="I114" s="12">
        <v>2416206676.3699999</v>
      </c>
    </row>
    <row r="115" spans="1:9" x14ac:dyDescent="0.25">
      <c r="A115" s="9">
        <v>409</v>
      </c>
      <c r="B115" s="10">
        <v>44742</v>
      </c>
      <c r="C115" s="9">
        <v>9</v>
      </c>
      <c r="D115" s="9" t="str">
        <f t="shared" si="6"/>
        <v>1860</v>
      </c>
      <c r="E115" s="11" t="str">
        <f t="shared" si="7"/>
        <v>Прочие дебиторы по банковской деятельности</v>
      </c>
      <c r="F115" s="9" t="str">
        <f t="shared" si="8"/>
        <v>1</v>
      </c>
      <c r="G115" s="9" t="str">
        <f>"4"</f>
        <v>4</v>
      </c>
      <c r="H115" s="9" t="str">
        <f>"2"</f>
        <v>2</v>
      </c>
      <c r="I115" s="12">
        <v>1680318361.77</v>
      </c>
    </row>
    <row r="116" spans="1:9" x14ac:dyDescent="0.25">
      <c r="A116" s="9">
        <v>89</v>
      </c>
      <c r="B116" s="10">
        <v>44742</v>
      </c>
      <c r="C116" s="9">
        <v>9</v>
      </c>
      <c r="D116" s="9" t="str">
        <f t="shared" si="6"/>
        <v>1860</v>
      </c>
      <c r="E116" s="11" t="str">
        <f t="shared" si="7"/>
        <v>Прочие дебиторы по банковской деятельности</v>
      </c>
      <c r="F116" s="9" t="str">
        <f t="shared" si="8"/>
        <v>1</v>
      </c>
      <c r="G116" s="9" t="str">
        <f>"4"</f>
        <v>4</v>
      </c>
      <c r="H116" s="9" t="str">
        <f>"3"</f>
        <v>3</v>
      </c>
      <c r="I116" s="12">
        <v>359.2</v>
      </c>
    </row>
    <row r="117" spans="1:9" x14ac:dyDescent="0.25">
      <c r="A117" s="9">
        <v>165</v>
      </c>
      <c r="B117" s="10">
        <v>44742</v>
      </c>
      <c r="C117" s="9">
        <v>9</v>
      </c>
      <c r="D117" s="9" t="str">
        <f t="shared" si="6"/>
        <v>1860</v>
      </c>
      <c r="E117" s="11" t="str">
        <f t="shared" si="7"/>
        <v>Прочие дебиторы по банковской деятельности</v>
      </c>
      <c r="F117" s="9" t="str">
        <f t="shared" si="8"/>
        <v>1</v>
      </c>
      <c r="G117" s="9" t="str">
        <f>"5"</f>
        <v>5</v>
      </c>
      <c r="H117" s="9" t="str">
        <f>"1"</f>
        <v>1</v>
      </c>
      <c r="I117" s="12">
        <v>21813673.77</v>
      </c>
    </row>
    <row r="118" spans="1:9" x14ac:dyDescent="0.25">
      <c r="A118" s="9">
        <v>273</v>
      </c>
      <c r="B118" s="10">
        <v>44742</v>
      </c>
      <c r="C118" s="9">
        <v>9</v>
      </c>
      <c r="D118" s="9" t="str">
        <f t="shared" si="6"/>
        <v>1860</v>
      </c>
      <c r="E118" s="11" t="str">
        <f t="shared" si="7"/>
        <v>Прочие дебиторы по банковской деятельности</v>
      </c>
      <c r="F118" s="9" t="str">
        <f t="shared" si="8"/>
        <v>1</v>
      </c>
      <c r="G118" s="9" t="str">
        <f>"5"</f>
        <v>5</v>
      </c>
      <c r="H118" s="9" t="str">
        <f>"2"</f>
        <v>2</v>
      </c>
      <c r="I118" s="12">
        <v>1560809.18</v>
      </c>
    </row>
    <row r="119" spans="1:9" x14ac:dyDescent="0.25">
      <c r="A119" s="9">
        <v>90</v>
      </c>
      <c r="B119" s="10">
        <v>44742</v>
      </c>
      <c r="C119" s="9">
        <v>9</v>
      </c>
      <c r="D119" s="9" t="str">
        <f t="shared" si="6"/>
        <v>1860</v>
      </c>
      <c r="E119" s="11" t="str">
        <f t="shared" si="7"/>
        <v>Прочие дебиторы по банковской деятельности</v>
      </c>
      <c r="F119" s="9" t="str">
        <f t="shared" si="8"/>
        <v>1</v>
      </c>
      <c r="G119" s="9" t="str">
        <f>"6"</f>
        <v>6</v>
      </c>
      <c r="H119" s="9" t="str">
        <f>"1"</f>
        <v>1</v>
      </c>
      <c r="I119" s="12">
        <v>644850</v>
      </c>
    </row>
    <row r="120" spans="1:9" x14ac:dyDescent="0.25">
      <c r="A120" s="9">
        <v>272</v>
      </c>
      <c r="B120" s="10">
        <v>44742</v>
      </c>
      <c r="C120" s="9">
        <v>9</v>
      </c>
      <c r="D120" s="9" t="str">
        <f t="shared" si="6"/>
        <v>1860</v>
      </c>
      <c r="E120" s="11" t="str">
        <f t="shared" si="7"/>
        <v>Прочие дебиторы по банковской деятельности</v>
      </c>
      <c r="F120" s="9" t="str">
        <f t="shared" si="8"/>
        <v>1</v>
      </c>
      <c r="G120" s="9" t="str">
        <f>"7"</f>
        <v>7</v>
      </c>
      <c r="H120" s="9" t="str">
        <f>"1"</f>
        <v>1</v>
      </c>
      <c r="I120" s="12">
        <v>535411682.44</v>
      </c>
    </row>
    <row r="121" spans="1:9" x14ac:dyDescent="0.25">
      <c r="A121" s="9">
        <v>361</v>
      </c>
      <c r="B121" s="10">
        <v>44742</v>
      </c>
      <c r="C121" s="9">
        <v>9</v>
      </c>
      <c r="D121" s="9" t="str">
        <f t="shared" si="6"/>
        <v>1860</v>
      </c>
      <c r="E121" s="11" t="str">
        <f t="shared" si="7"/>
        <v>Прочие дебиторы по банковской деятельности</v>
      </c>
      <c r="F121" s="9" t="str">
        <f t="shared" si="8"/>
        <v>1</v>
      </c>
      <c r="G121" s="9" t="str">
        <f>"8"</f>
        <v>8</v>
      </c>
      <c r="H121" s="9" t="str">
        <f>"1"</f>
        <v>1</v>
      </c>
      <c r="I121" s="12">
        <v>318</v>
      </c>
    </row>
    <row r="122" spans="1:9" x14ac:dyDescent="0.25">
      <c r="A122" s="9">
        <v>274</v>
      </c>
      <c r="B122" s="10">
        <v>44742</v>
      </c>
      <c r="C122" s="9">
        <v>9</v>
      </c>
      <c r="D122" s="9" t="str">
        <f t="shared" si="6"/>
        <v>1860</v>
      </c>
      <c r="E122" s="11" t="str">
        <f t="shared" si="7"/>
        <v>Прочие дебиторы по банковской деятельности</v>
      </c>
      <c r="F122" s="9" t="str">
        <f t="shared" si="8"/>
        <v>1</v>
      </c>
      <c r="G122" s="9" t="str">
        <f>"9"</f>
        <v>9</v>
      </c>
      <c r="H122" s="9" t="str">
        <f>"1"</f>
        <v>1</v>
      </c>
      <c r="I122" s="12">
        <v>1993293852.3299999</v>
      </c>
    </row>
    <row r="123" spans="1:9" x14ac:dyDescent="0.25">
      <c r="A123" s="9">
        <v>11</v>
      </c>
      <c r="B123" s="10">
        <v>44742</v>
      </c>
      <c r="C123" s="9">
        <v>9</v>
      </c>
      <c r="D123" s="9" t="str">
        <f t="shared" si="6"/>
        <v>1860</v>
      </c>
      <c r="E123" s="11" t="str">
        <f t="shared" si="7"/>
        <v>Прочие дебиторы по банковской деятельности</v>
      </c>
      <c r="F123" s="9" t="str">
        <f t="shared" si="8"/>
        <v>1</v>
      </c>
      <c r="G123" s="9" t="str">
        <f>"9"</f>
        <v>9</v>
      </c>
      <c r="H123" s="9" t="str">
        <f>"2"</f>
        <v>2</v>
      </c>
      <c r="I123" s="12">
        <v>4969240.24</v>
      </c>
    </row>
    <row r="124" spans="1:9" x14ac:dyDescent="0.25">
      <c r="A124" s="9">
        <v>323</v>
      </c>
      <c r="B124" s="10">
        <v>44742</v>
      </c>
      <c r="C124" s="9">
        <v>9</v>
      </c>
      <c r="D124" s="9" t="str">
        <f t="shared" si="6"/>
        <v>1860</v>
      </c>
      <c r="E124" s="11" t="str">
        <f t="shared" si="7"/>
        <v>Прочие дебиторы по банковской деятельности</v>
      </c>
      <c r="F124" s="9" t="str">
        <f>"2"</f>
        <v>2</v>
      </c>
      <c r="G124" s="9" t="str">
        <f>"4"</f>
        <v>4</v>
      </c>
      <c r="H124" s="9" t="str">
        <f>"2"</f>
        <v>2</v>
      </c>
      <c r="I124" s="12">
        <v>329608098.85000002</v>
      </c>
    </row>
    <row r="125" spans="1:9" x14ac:dyDescent="0.25">
      <c r="A125" s="9">
        <v>381</v>
      </c>
      <c r="B125" s="10">
        <v>44742</v>
      </c>
      <c r="C125" s="9">
        <v>9</v>
      </c>
      <c r="D125" s="9" t="str">
        <f t="shared" si="6"/>
        <v>1860</v>
      </c>
      <c r="E125" s="11" t="str">
        <f t="shared" si="7"/>
        <v>Прочие дебиторы по банковской деятельности</v>
      </c>
      <c r="F125" s="9" t="str">
        <f>"2"</f>
        <v>2</v>
      </c>
      <c r="G125" s="9" t="str">
        <f>"7"</f>
        <v>7</v>
      </c>
      <c r="H125" s="9" t="str">
        <f>"1"</f>
        <v>1</v>
      </c>
      <c r="I125" s="12">
        <v>1226937</v>
      </c>
    </row>
    <row r="126" spans="1:9" x14ac:dyDescent="0.25">
      <c r="A126" s="9">
        <v>91</v>
      </c>
      <c r="B126" s="10">
        <v>44742</v>
      </c>
      <c r="C126" s="9">
        <v>9</v>
      </c>
      <c r="D126" s="9" t="str">
        <f t="shared" si="6"/>
        <v>1860</v>
      </c>
      <c r="E126" s="11" t="str">
        <f t="shared" si="7"/>
        <v>Прочие дебиторы по банковской деятельности</v>
      </c>
      <c r="F126" s="9" t="str">
        <f>"2"</f>
        <v>2</v>
      </c>
      <c r="G126" s="9" t="str">
        <f>"9"</f>
        <v>9</v>
      </c>
      <c r="H126" s="9" t="str">
        <f>"1"</f>
        <v>1</v>
      </c>
      <c r="I126" s="12">
        <v>46207153.07</v>
      </c>
    </row>
    <row r="127" spans="1:9" x14ac:dyDescent="0.25">
      <c r="A127" s="9">
        <v>324</v>
      </c>
      <c r="B127" s="10">
        <v>44742</v>
      </c>
      <c r="C127" s="9">
        <v>9</v>
      </c>
      <c r="D127" s="9" t="str">
        <f t="shared" si="6"/>
        <v>1860</v>
      </c>
      <c r="E127" s="11" t="str">
        <f t="shared" si="7"/>
        <v>Прочие дебиторы по банковской деятельности</v>
      </c>
      <c r="F127" s="9" t="str">
        <f>"2"</f>
        <v>2</v>
      </c>
      <c r="G127" s="9" t="str">
        <f>"9"</f>
        <v>9</v>
      </c>
      <c r="H127" s="9" t="str">
        <f>"2"</f>
        <v>2</v>
      </c>
      <c r="I127" s="12">
        <v>27764.85</v>
      </c>
    </row>
    <row r="128" spans="1:9" x14ac:dyDescent="0.25">
      <c r="A128" s="9">
        <v>290</v>
      </c>
      <c r="B128" s="10">
        <v>44742</v>
      </c>
      <c r="C128" s="9">
        <v>9</v>
      </c>
      <c r="D128" s="9" t="str">
        <f t="shared" ref="D128:D134" si="9">"1867"</f>
        <v>1867</v>
      </c>
      <c r="E128" s="11" t="str">
        <f t="shared" ref="E128:E134" si="10">"Прочие дебиторы по неосновной деятельности"</f>
        <v>Прочие дебиторы по неосновной деятельности</v>
      </c>
      <c r="F128" s="9" t="str">
        <f>"1"</f>
        <v>1</v>
      </c>
      <c r="G128" s="9" t="str">
        <f>"1"</f>
        <v>1</v>
      </c>
      <c r="H128" s="9" t="str">
        <f>"1"</f>
        <v>1</v>
      </c>
      <c r="I128" s="12">
        <v>111494.44</v>
      </c>
    </row>
    <row r="129" spans="1:9" x14ac:dyDescent="0.25">
      <c r="A129" s="9">
        <v>410</v>
      </c>
      <c r="B129" s="10">
        <v>44742</v>
      </c>
      <c r="C129" s="9">
        <v>9</v>
      </c>
      <c r="D129" s="9" t="str">
        <f t="shared" si="9"/>
        <v>1867</v>
      </c>
      <c r="E129" s="11" t="str">
        <f t="shared" si="10"/>
        <v>Прочие дебиторы по неосновной деятельности</v>
      </c>
      <c r="F129" s="9" t="str">
        <f>"1"</f>
        <v>1</v>
      </c>
      <c r="G129" s="9" t="str">
        <f>"5"</f>
        <v>5</v>
      </c>
      <c r="H129" s="9" t="str">
        <f t="shared" ref="H129:H140" si="11">"1"</f>
        <v>1</v>
      </c>
      <c r="I129" s="12">
        <v>91189</v>
      </c>
    </row>
    <row r="130" spans="1:9" x14ac:dyDescent="0.25">
      <c r="A130" s="9">
        <v>167</v>
      </c>
      <c r="B130" s="10">
        <v>44742</v>
      </c>
      <c r="C130" s="9">
        <v>9</v>
      </c>
      <c r="D130" s="9" t="str">
        <f t="shared" si="9"/>
        <v>1867</v>
      </c>
      <c r="E130" s="11" t="str">
        <f t="shared" si="10"/>
        <v>Прочие дебиторы по неосновной деятельности</v>
      </c>
      <c r="F130" s="9" t="str">
        <f>"1"</f>
        <v>1</v>
      </c>
      <c r="G130" s="9" t="str">
        <f>"6"</f>
        <v>6</v>
      </c>
      <c r="H130" s="9" t="str">
        <f t="shared" si="11"/>
        <v>1</v>
      </c>
      <c r="I130" s="12">
        <v>284607.94</v>
      </c>
    </row>
    <row r="131" spans="1:9" x14ac:dyDescent="0.25">
      <c r="A131" s="9">
        <v>186</v>
      </c>
      <c r="B131" s="10">
        <v>44742</v>
      </c>
      <c r="C131" s="9">
        <v>9</v>
      </c>
      <c r="D131" s="9" t="str">
        <f t="shared" si="9"/>
        <v>1867</v>
      </c>
      <c r="E131" s="11" t="str">
        <f t="shared" si="10"/>
        <v>Прочие дебиторы по неосновной деятельности</v>
      </c>
      <c r="F131" s="9" t="str">
        <f>"1"</f>
        <v>1</v>
      </c>
      <c r="G131" s="9" t="str">
        <f>"7"</f>
        <v>7</v>
      </c>
      <c r="H131" s="9" t="str">
        <f t="shared" si="11"/>
        <v>1</v>
      </c>
      <c r="I131" s="12">
        <v>958438235.65999997</v>
      </c>
    </row>
    <row r="132" spans="1:9" x14ac:dyDescent="0.25">
      <c r="A132" s="9">
        <v>131</v>
      </c>
      <c r="B132" s="10">
        <v>44742</v>
      </c>
      <c r="C132" s="9">
        <v>9</v>
      </c>
      <c r="D132" s="9" t="str">
        <f t="shared" si="9"/>
        <v>1867</v>
      </c>
      <c r="E132" s="11" t="str">
        <f t="shared" si="10"/>
        <v>Прочие дебиторы по неосновной деятельности</v>
      </c>
      <c r="F132" s="9" t="str">
        <f>"1"</f>
        <v>1</v>
      </c>
      <c r="G132" s="9" t="str">
        <f>"8"</f>
        <v>8</v>
      </c>
      <c r="H132" s="9" t="str">
        <f t="shared" si="11"/>
        <v>1</v>
      </c>
      <c r="I132" s="12">
        <v>62620</v>
      </c>
    </row>
    <row r="133" spans="1:9" x14ac:dyDescent="0.25">
      <c r="A133" s="9">
        <v>187</v>
      </c>
      <c r="B133" s="10">
        <v>44742</v>
      </c>
      <c r="C133" s="9">
        <v>9</v>
      </c>
      <c r="D133" s="9" t="str">
        <f t="shared" si="9"/>
        <v>1867</v>
      </c>
      <c r="E133" s="11" t="str">
        <f t="shared" si="10"/>
        <v>Прочие дебиторы по неосновной деятельности</v>
      </c>
      <c r="F133" s="9" t="str">
        <f>"1"</f>
        <v>1</v>
      </c>
      <c r="G133" s="9" t="str">
        <f>"9"</f>
        <v>9</v>
      </c>
      <c r="H133" s="9" t="str">
        <f t="shared" si="11"/>
        <v>1</v>
      </c>
      <c r="I133" s="12">
        <v>5639595.6900000004</v>
      </c>
    </row>
    <row r="134" spans="1:9" x14ac:dyDescent="0.25">
      <c r="A134" s="9">
        <v>427</v>
      </c>
      <c r="B134" s="10">
        <v>44742</v>
      </c>
      <c r="C134" s="9">
        <v>9</v>
      </c>
      <c r="D134" s="9" t="str">
        <f t="shared" si="9"/>
        <v>1867</v>
      </c>
      <c r="E134" s="11" t="str">
        <f t="shared" si="10"/>
        <v>Прочие дебиторы по неосновной деятельности</v>
      </c>
      <c r="F134" s="9" t="str">
        <f>"2"</f>
        <v>2</v>
      </c>
      <c r="G134" s="9" t="str">
        <f>"7"</f>
        <v>7</v>
      </c>
      <c r="H134" s="9" t="str">
        <f t="shared" si="11"/>
        <v>1</v>
      </c>
      <c r="I134" s="12">
        <v>208807172.74000001</v>
      </c>
    </row>
    <row r="135" spans="1:9" x14ac:dyDescent="0.25">
      <c r="A135" s="9">
        <v>12</v>
      </c>
      <c r="B135" s="10">
        <v>44742</v>
      </c>
      <c r="C135" s="9">
        <v>9</v>
      </c>
      <c r="D135" s="9" t="str">
        <f>"1870"</f>
        <v>1870</v>
      </c>
      <c r="E135" s="11" t="str">
        <f>"Прочие транзитные счета"</f>
        <v>Прочие транзитные счета</v>
      </c>
      <c r="F135" s="9" t="str">
        <f t="shared" ref="F135:F141" si="12">"1"</f>
        <v>1</v>
      </c>
      <c r="G135" s="9" t="str">
        <f>"9"</f>
        <v>9</v>
      </c>
      <c r="H135" s="9" t="str">
        <f t="shared" si="11"/>
        <v>1</v>
      </c>
      <c r="I135" s="12">
        <v>38905687.850000001</v>
      </c>
    </row>
    <row r="136" spans="1:9" ht="30" x14ac:dyDescent="0.25">
      <c r="A136" s="9">
        <v>13</v>
      </c>
      <c r="B136" s="10">
        <v>44742</v>
      </c>
      <c r="C136" s="9">
        <v>9</v>
      </c>
      <c r="D136" s="9" t="str">
        <f t="shared" ref="D136:D144" si="13">"1877"</f>
        <v>1877</v>
      </c>
      <c r="E136" s="11" t="str">
        <f t="shared" ref="E136:E144" si="14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36" s="9" t="str">
        <f t="shared" si="12"/>
        <v>1</v>
      </c>
      <c r="G136" s="9" t="str">
        <f>"4"</f>
        <v>4</v>
      </c>
      <c r="H136" s="9" t="str">
        <f t="shared" si="11"/>
        <v>1</v>
      </c>
      <c r="I136" s="12">
        <v>-259145180.55000001</v>
      </c>
    </row>
    <row r="137" spans="1:9" ht="30" x14ac:dyDescent="0.25">
      <c r="A137" s="9">
        <v>225</v>
      </c>
      <c r="B137" s="10">
        <v>44742</v>
      </c>
      <c r="C137" s="9">
        <v>9</v>
      </c>
      <c r="D137" s="9" t="str">
        <f t="shared" si="13"/>
        <v>1877</v>
      </c>
      <c r="E137" s="11" t="str">
        <f t="shared" si="14"/>
        <v>Резервы (провизии) по дебиторской задолженности, связанной с банковской деятельностью</v>
      </c>
      <c r="F137" s="9" t="str">
        <f t="shared" si="12"/>
        <v>1</v>
      </c>
      <c r="G137" s="9" t="str">
        <f>"6"</f>
        <v>6</v>
      </c>
      <c r="H137" s="9" t="str">
        <f t="shared" si="11"/>
        <v>1</v>
      </c>
      <c r="I137" s="12">
        <v>-1343850</v>
      </c>
    </row>
    <row r="138" spans="1:9" ht="30" x14ac:dyDescent="0.25">
      <c r="A138" s="9">
        <v>226</v>
      </c>
      <c r="B138" s="10">
        <v>44742</v>
      </c>
      <c r="C138" s="9">
        <v>9</v>
      </c>
      <c r="D138" s="9" t="str">
        <f t="shared" si="13"/>
        <v>1877</v>
      </c>
      <c r="E138" s="11" t="str">
        <f t="shared" si="14"/>
        <v>Резервы (провизии) по дебиторской задолженности, связанной с банковской деятельностью</v>
      </c>
      <c r="F138" s="9" t="str">
        <f t="shared" si="12"/>
        <v>1</v>
      </c>
      <c r="G138" s="9" t="str">
        <f>"7"</f>
        <v>7</v>
      </c>
      <c r="H138" s="9" t="str">
        <f t="shared" si="11"/>
        <v>1</v>
      </c>
      <c r="I138" s="12">
        <v>-272795960.91000003</v>
      </c>
    </row>
    <row r="139" spans="1:9" ht="30" x14ac:dyDescent="0.25">
      <c r="A139" s="9">
        <v>339</v>
      </c>
      <c r="B139" s="10">
        <v>44742</v>
      </c>
      <c r="C139" s="9">
        <v>9</v>
      </c>
      <c r="D139" s="9" t="str">
        <f t="shared" si="13"/>
        <v>1877</v>
      </c>
      <c r="E139" s="11" t="str">
        <f t="shared" si="14"/>
        <v>Резервы (провизии) по дебиторской задолженности, связанной с банковской деятельностью</v>
      </c>
      <c r="F139" s="9" t="str">
        <f t="shared" si="12"/>
        <v>1</v>
      </c>
      <c r="G139" s="9" t="str">
        <f>"8"</f>
        <v>8</v>
      </c>
      <c r="H139" s="9" t="str">
        <f t="shared" si="11"/>
        <v>1</v>
      </c>
      <c r="I139" s="12">
        <v>-318</v>
      </c>
    </row>
    <row r="140" spans="1:9" ht="30" x14ac:dyDescent="0.25">
      <c r="A140" s="9">
        <v>45</v>
      </c>
      <c r="B140" s="10">
        <v>44742</v>
      </c>
      <c r="C140" s="9">
        <v>9</v>
      </c>
      <c r="D140" s="9" t="str">
        <f t="shared" si="13"/>
        <v>1877</v>
      </c>
      <c r="E140" s="11" t="str">
        <f t="shared" si="14"/>
        <v>Резервы (провизии) по дебиторской задолженности, связанной с банковской деятельностью</v>
      </c>
      <c r="F140" s="9" t="str">
        <f t="shared" si="12"/>
        <v>1</v>
      </c>
      <c r="G140" s="9" t="str">
        <f>"9"</f>
        <v>9</v>
      </c>
      <c r="H140" s="9" t="str">
        <f t="shared" si="11"/>
        <v>1</v>
      </c>
      <c r="I140" s="12">
        <v>-1528815262.6500001</v>
      </c>
    </row>
    <row r="141" spans="1:9" ht="30" x14ac:dyDescent="0.25">
      <c r="A141" s="9">
        <v>114</v>
      </c>
      <c r="B141" s="10">
        <v>44742</v>
      </c>
      <c r="C141" s="9">
        <v>9</v>
      </c>
      <c r="D141" s="9" t="str">
        <f t="shared" si="13"/>
        <v>1877</v>
      </c>
      <c r="E141" s="11" t="str">
        <f t="shared" si="14"/>
        <v>Резервы (провизии) по дебиторской задолженности, связанной с банковской деятельностью</v>
      </c>
      <c r="F141" s="9" t="str">
        <f t="shared" si="12"/>
        <v>1</v>
      </c>
      <c r="G141" s="9" t="str">
        <f>"9"</f>
        <v>9</v>
      </c>
      <c r="H141" s="9" t="str">
        <f>"2"</f>
        <v>2</v>
      </c>
      <c r="I141" s="12">
        <v>-4498900.2300000004</v>
      </c>
    </row>
    <row r="142" spans="1:9" ht="30" x14ac:dyDescent="0.25">
      <c r="A142" s="9">
        <v>227</v>
      </c>
      <c r="B142" s="10">
        <v>44742</v>
      </c>
      <c r="C142" s="9">
        <v>9</v>
      </c>
      <c r="D142" s="9" t="str">
        <f t="shared" si="13"/>
        <v>1877</v>
      </c>
      <c r="E142" s="11" t="str">
        <f t="shared" si="14"/>
        <v>Резервы (провизии) по дебиторской задолженности, связанной с банковской деятельностью</v>
      </c>
      <c r="F142" s="9" t="str">
        <f>"2"</f>
        <v>2</v>
      </c>
      <c r="G142" s="9" t="str">
        <f>"7"</f>
        <v>7</v>
      </c>
      <c r="H142" s="9" t="str">
        <f>"2"</f>
        <v>2</v>
      </c>
      <c r="I142" s="12">
        <v>-4747992.9400000004</v>
      </c>
    </row>
    <row r="143" spans="1:9" ht="30" x14ac:dyDescent="0.25">
      <c r="A143" s="9">
        <v>362</v>
      </c>
      <c r="B143" s="10">
        <v>44742</v>
      </c>
      <c r="C143" s="9">
        <v>9</v>
      </c>
      <c r="D143" s="9" t="str">
        <f t="shared" si="13"/>
        <v>1877</v>
      </c>
      <c r="E143" s="11" t="str">
        <f t="shared" si="14"/>
        <v>Резервы (провизии) по дебиторской задолженности, связанной с банковской деятельностью</v>
      </c>
      <c r="F143" s="9" t="str">
        <f>"2"</f>
        <v>2</v>
      </c>
      <c r="G143" s="9" t="str">
        <f>"9"</f>
        <v>9</v>
      </c>
      <c r="H143" s="9" t="str">
        <f>"1"</f>
        <v>1</v>
      </c>
      <c r="I143" s="12">
        <v>-46207153.189999998</v>
      </c>
    </row>
    <row r="144" spans="1:9" ht="30" x14ac:dyDescent="0.25">
      <c r="A144" s="9">
        <v>210</v>
      </c>
      <c r="B144" s="10">
        <v>44742</v>
      </c>
      <c r="C144" s="9">
        <v>9</v>
      </c>
      <c r="D144" s="9" t="str">
        <f t="shared" si="13"/>
        <v>1877</v>
      </c>
      <c r="E144" s="11" t="str">
        <f t="shared" si="14"/>
        <v>Резервы (провизии) по дебиторской задолженности, связанной с банковской деятельностью</v>
      </c>
      <c r="F144" s="9" t="str">
        <f>"2"</f>
        <v>2</v>
      </c>
      <c r="G144" s="9" t="str">
        <f>"9"</f>
        <v>9</v>
      </c>
      <c r="H144" s="9" t="str">
        <f>"2"</f>
        <v>2</v>
      </c>
      <c r="I144" s="12">
        <v>-27764.84</v>
      </c>
    </row>
    <row r="145" spans="1:9" ht="30" x14ac:dyDescent="0.25">
      <c r="A145" s="9">
        <v>166</v>
      </c>
      <c r="B145" s="10">
        <v>44742</v>
      </c>
      <c r="C145" s="9">
        <v>9</v>
      </c>
      <c r="D145" s="9" t="str">
        <f>"1878"</f>
        <v>1878</v>
      </c>
      <c r="E145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145" s="9" t="str">
        <f>"1"</f>
        <v>1</v>
      </c>
      <c r="G145" s="9" t="str">
        <f>"1"</f>
        <v>1</v>
      </c>
      <c r="H145" s="9" t="str">
        <f>"1"</f>
        <v>1</v>
      </c>
      <c r="I145" s="12">
        <v>-80150242.819999993</v>
      </c>
    </row>
    <row r="146" spans="1:9" ht="30" x14ac:dyDescent="0.25">
      <c r="A146" s="9">
        <v>44</v>
      </c>
      <c r="B146" s="10">
        <v>44742</v>
      </c>
      <c r="C146" s="9">
        <v>9</v>
      </c>
      <c r="D146" s="9" t="str">
        <f>"1878"</f>
        <v>1878</v>
      </c>
      <c r="E146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146" s="9" t="str">
        <f>"1"</f>
        <v>1</v>
      </c>
      <c r="G146" s="9" t="str">
        <f>"7"</f>
        <v>7</v>
      </c>
      <c r="H146" s="9" t="str">
        <f>"1"</f>
        <v>1</v>
      </c>
      <c r="I146" s="12">
        <v>-855141849.35000002</v>
      </c>
    </row>
    <row r="147" spans="1:9" ht="30" x14ac:dyDescent="0.25">
      <c r="A147" s="9">
        <v>316</v>
      </c>
      <c r="B147" s="10">
        <v>44742</v>
      </c>
      <c r="C147" s="9">
        <v>9</v>
      </c>
      <c r="D147" s="9" t="str">
        <f>"1878"</f>
        <v>1878</v>
      </c>
      <c r="E147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147" s="9" t="str">
        <f>"2"</f>
        <v>2</v>
      </c>
      <c r="G147" s="9" t="str">
        <f>"7"</f>
        <v>7</v>
      </c>
      <c r="H147" s="9" t="str">
        <f>"1"</f>
        <v>1</v>
      </c>
      <c r="I147" s="12">
        <v>-56490116.289999999</v>
      </c>
    </row>
    <row r="148" spans="1:9" ht="30" x14ac:dyDescent="0.25">
      <c r="A148" s="9">
        <v>245</v>
      </c>
      <c r="B148" s="10">
        <v>44742</v>
      </c>
      <c r="C148" s="9">
        <v>9</v>
      </c>
      <c r="D148" s="9" t="str">
        <f>"1878"</f>
        <v>1878</v>
      </c>
      <c r="E148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148" s="9" t="str">
        <f>"2"</f>
        <v>2</v>
      </c>
      <c r="G148" s="9" t="str">
        <f>"9"</f>
        <v>9</v>
      </c>
      <c r="H148" s="9" t="str">
        <f>"1"</f>
        <v>1</v>
      </c>
      <c r="I148" s="12">
        <v>-1886412.5</v>
      </c>
    </row>
    <row r="149" spans="1:9" x14ac:dyDescent="0.25">
      <c r="A149" s="9">
        <v>155</v>
      </c>
      <c r="B149" s="10">
        <v>44742</v>
      </c>
      <c r="C149" s="9">
        <v>9</v>
      </c>
      <c r="D149" s="9" t="str">
        <f>"1879"</f>
        <v>1879</v>
      </c>
      <c r="E149" s="11" t="str">
        <f>"Начисленная неустойка (штраф, пеня)"</f>
        <v>Начисленная неустойка (штраф, пеня)</v>
      </c>
      <c r="F149" s="9" t="str">
        <f>"1"</f>
        <v>1</v>
      </c>
      <c r="G149" s="9" t="str">
        <f>"7"</f>
        <v>7</v>
      </c>
      <c r="H149" s="9" t="str">
        <f>"1"</f>
        <v>1</v>
      </c>
      <c r="I149" s="12">
        <v>102600</v>
      </c>
    </row>
    <row r="150" spans="1:9" x14ac:dyDescent="0.25">
      <c r="A150" s="9">
        <v>277</v>
      </c>
      <c r="B150" s="10">
        <v>44742</v>
      </c>
      <c r="C150" s="9">
        <v>9</v>
      </c>
      <c r="D150" s="9" t="str">
        <f>"1879"</f>
        <v>1879</v>
      </c>
      <c r="E150" s="11" t="str">
        <f>"Начисленная неустойка (штраф, пеня)"</f>
        <v>Начисленная неустойка (штраф, пеня)</v>
      </c>
      <c r="F150" s="9" t="str">
        <f>"1"</f>
        <v>1</v>
      </c>
      <c r="G150" s="9" t="str">
        <f>"9"</f>
        <v>9</v>
      </c>
      <c r="H150" s="9" t="str">
        <f>"1"</f>
        <v>1</v>
      </c>
      <c r="I150" s="12">
        <v>347000</v>
      </c>
    </row>
    <row r="151" spans="1:9" x14ac:dyDescent="0.25">
      <c r="A151" s="9">
        <v>382</v>
      </c>
      <c r="B151" s="10">
        <v>44742</v>
      </c>
      <c r="C151" s="9">
        <v>9</v>
      </c>
      <c r="D151" s="9" t="str">
        <f>"2013"</f>
        <v>2013</v>
      </c>
      <c r="E151" s="11" t="str">
        <f>"Корреспондентские счета других банков"</f>
        <v>Корреспондентские счета других банков</v>
      </c>
      <c r="F151" s="9" t="str">
        <f>"1"</f>
        <v>1</v>
      </c>
      <c r="G151" s="9" t="str">
        <f>"4"</f>
        <v>4</v>
      </c>
      <c r="H151" s="9" t="str">
        <f>"3"</f>
        <v>3</v>
      </c>
      <c r="I151" s="12">
        <v>235497.54</v>
      </c>
    </row>
    <row r="152" spans="1:9" x14ac:dyDescent="0.25">
      <c r="A152" s="9">
        <v>449</v>
      </c>
      <c r="B152" s="10">
        <v>44742</v>
      </c>
      <c r="C152" s="9">
        <v>9</v>
      </c>
      <c r="D152" s="9" t="str">
        <f>"2013"</f>
        <v>2013</v>
      </c>
      <c r="E152" s="11" t="str">
        <f>"Корреспондентские счета других банков"</f>
        <v>Корреспондентские счета других банков</v>
      </c>
      <c r="F152" s="9" t="str">
        <f>"2"</f>
        <v>2</v>
      </c>
      <c r="G152" s="9" t="str">
        <f>"4"</f>
        <v>4</v>
      </c>
      <c r="H152" s="9" t="str">
        <f>"1"</f>
        <v>1</v>
      </c>
      <c r="I152" s="12">
        <v>65599325.560000002</v>
      </c>
    </row>
    <row r="153" spans="1:9" x14ac:dyDescent="0.25">
      <c r="A153" s="9">
        <v>46</v>
      </c>
      <c r="B153" s="10">
        <v>44742</v>
      </c>
      <c r="C153" s="9">
        <v>9</v>
      </c>
      <c r="D153" s="9" t="str">
        <f t="shared" ref="D153:D172" si="15">"2203"</f>
        <v>2203</v>
      </c>
      <c r="E153" s="11" t="str">
        <f t="shared" ref="E153:E172" si="16">"Текущие счета юридических лиц"</f>
        <v>Текущие счета юридических лиц</v>
      </c>
      <c r="F153" s="9" t="str">
        <f t="shared" ref="F153:F163" si="17">"1"</f>
        <v>1</v>
      </c>
      <c r="G153" s="9" t="str">
        <f>"5"</f>
        <v>5</v>
      </c>
      <c r="H153" s="9" t="str">
        <f>"1"</f>
        <v>1</v>
      </c>
      <c r="I153" s="12">
        <v>32892233.41</v>
      </c>
    </row>
    <row r="154" spans="1:9" x14ac:dyDescent="0.25">
      <c r="A154" s="9">
        <v>383</v>
      </c>
      <c r="B154" s="10">
        <v>44742</v>
      </c>
      <c r="C154" s="9">
        <v>9</v>
      </c>
      <c r="D154" s="9" t="str">
        <f t="shared" si="15"/>
        <v>2203</v>
      </c>
      <c r="E154" s="11" t="str">
        <f t="shared" si="16"/>
        <v>Текущие счета юридических лиц</v>
      </c>
      <c r="F154" s="9" t="str">
        <f t="shared" si="17"/>
        <v>1</v>
      </c>
      <c r="G154" s="9" t="str">
        <f>"5"</f>
        <v>5</v>
      </c>
      <c r="H154" s="9" t="str">
        <f>"2"</f>
        <v>2</v>
      </c>
      <c r="I154" s="12">
        <v>241822720.69999999</v>
      </c>
    </row>
    <row r="155" spans="1:9" x14ac:dyDescent="0.25">
      <c r="A155" s="9">
        <v>15</v>
      </c>
      <c r="B155" s="10">
        <v>44742</v>
      </c>
      <c r="C155" s="9">
        <v>9</v>
      </c>
      <c r="D155" s="9" t="str">
        <f t="shared" si="15"/>
        <v>2203</v>
      </c>
      <c r="E155" s="11" t="str">
        <f t="shared" si="16"/>
        <v>Текущие счета юридических лиц</v>
      </c>
      <c r="F155" s="9" t="str">
        <f t="shared" si="17"/>
        <v>1</v>
      </c>
      <c r="G155" s="9" t="str">
        <f>"5"</f>
        <v>5</v>
      </c>
      <c r="H155" s="9" t="str">
        <f>"3"</f>
        <v>3</v>
      </c>
      <c r="I155" s="12">
        <v>12542.1</v>
      </c>
    </row>
    <row r="156" spans="1:9" x14ac:dyDescent="0.25">
      <c r="A156" s="9">
        <v>411</v>
      </c>
      <c r="B156" s="10">
        <v>44742</v>
      </c>
      <c r="C156" s="9">
        <v>9</v>
      </c>
      <c r="D156" s="9" t="str">
        <f t="shared" si="15"/>
        <v>2203</v>
      </c>
      <c r="E156" s="11" t="str">
        <f t="shared" si="16"/>
        <v>Текущие счета юридических лиц</v>
      </c>
      <c r="F156" s="9" t="str">
        <f t="shared" si="17"/>
        <v>1</v>
      </c>
      <c r="G156" s="9" t="str">
        <f>"6"</f>
        <v>6</v>
      </c>
      <c r="H156" s="9" t="str">
        <f>"1"</f>
        <v>1</v>
      </c>
      <c r="I156" s="12">
        <v>3086598.53</v>
      </c>
    </row>
    <row r="157" spans="1:9" x14ac:dyDescent="0.25">
      <c r="A157" s="9">
        <v>325</v>
      </c>
      <c r="B157" s="10">
        <v>44742</v>
      </c>
      <c r="C157" s="9">
        <v>9</v>
      </c>
      <c r="D157" s="9" t="str">
        <f t="shared" si="15"/>
        <v>2203</v>
      </c>
      <c r="E157" s="11" t="str">
        <f t="shared" si="16"/>
        <v>Текущие счета юридических лиц</v>
      </c>
      <c r="F157" s="9" t="str">
        <f t="shared" si="17"/>
        <v>1</v>
      </c>
      <c r="G157" s="9" t="str">
        <f>"6"</f>
        <v>6</v>
      </c>
      <c r="H157" s="9" t="str">
        <f>"2"</f>
        <v>2</v>
      </c>
      <c r="I157" s="12">
        <v>2408.13</v>
      </c>
    </row>
    <row r="158" spans="1:9" x14ac:dyDescent="0.25">
      <c r="A158" s="9">
        <v>276</v>
      </c>
      <c r="B158" s="10">
        <v>44742</v>
      </c>
      <c r="C158" s="9">
        <v>9</v>
      </c>
      <c r="D158" s="9" t="str">
        <f t="shared" si="15"/>
        <v>2203</v>
      </c>
      <c r="E158" s="11" t="str">
        <f t="shared" si="16"/>
        <v>Текущие счета юридических лиц</v>
      </c>
      <c r="F158" s="9" t="str">
        <f t="shared" si="17"/>
        <v>1</v>
      </c>
      <c r="G158" s="9" t="str">
        <f>"7"</f>
        <v>7</v>
      </c>
      <c r="H158" s="9" t="str">
        <f>"1"</f>
        <v>1</v>
      </c>
      <c r="I158" s="12">
        <v>2862898053.1700001</v>
      </c>
    </row>
    <row r="159" spans="1:9" x14ac:dyDescent="0.25">
      <c r="A159" s="9">
        <v>312</v>
      </c>
      <c r="B159" s="10">
        <v>44742</v>
      </c>
      <c r="C159" s="9">
        <v>9</v>
      </c>
      <c r="D159" s="9" t="str">
        <f t="shared" si="15"/>
        <v>2203</v>
      </c>
      <c r="E159" s="11" t="str">
        <f t="shared" si="16"/>
        <v>Текущие счета юридических лиц</v>
      </c>
      <c r="F159" s="9" t="str">
        <f t="shared" si="17"/>
        <v>1</v>
      </c>
      <c r="G159" s="9" t="str">
        <f>"7"</f>
        <v>7</v>
      </c>
      <c r="H159" s="9" t="str">
        <f>"2"</f>
        <v>2</v>
      </c>
      <c r="I159" s="12">
        <v>3714007071.25</v>
      </c>
    </row>
    <row r="160" spans="1:9" x14ac:dyDescent="0.25">
      <c r="A160" s="9">
        <v>434</v>
      </c>
      <c r="B160" s="10">
        <v>44742</v>
      </c>
      <c r="C160" s="9">
        <v>9</v>
      </c>
      <c r="D160" s="9" t="str">
        <f t="shared" si="15"/>
        <v>2203</v>
      </c>
      <c r="E160" s="11" t="str">
        <f t="shared" si="16"/>
        <v>Текущие счета юридических лиц</v>
      </c>
      <c r="F160" s="9" t="str">
        <f t="shared" si="17"/>
        <v>1</v>
      </c>
      <c r="G160" s="9" t="str">
        <f>"7"</f>
        <v>7</v>
      </c>
      <c r="H160" s="9" t="str">
        <f>"3"</f>
        <v>3</v>
      </c>
      <c r="I160" s="12">
        <v>209129595.34999999</v>
      </c>
    </row>
    <row r="161" spans="1:9" x14ac:dyDescent="0.25">
      <c r="A161" s="9">
        <v>344</v>
      </c>
      <c r="B161" s="10">
        <v>44742</v>
      </c>
      <c r="C161" s="9">
        <v>9</v>
      </c>
      <c r="D161" s="9" t="str">
        <f t="shared" si="15"/>
        <v>2203</v>
      </c>
      <c r="E161" s="11" t="str">
        <f t="shared" si="16"/>
        <v>Текущие счета юридических лиц</v>
      </c>
      <c r="F161" s="9" t="str">
        <f t="shared" si="17"/>
        <v>1</v>
      </c>
      <c r="G161" s="9" t="str">
        <f>"8"</f>
        <v>8</v>
      </c>
      <c r="H161" s="9" t="str">
        <f>"1"</f>
        <v>1</v>
      </c>
      <c r="I161" s="12">
        <v>54499747.710000001</v>
      </c>
    </row>
    <row r="162" spans="1:9" x14ac:dyDescent="0.25">
      <c r="A162" s="9">
        <v>47</v>
      </c>
      <c r="B162" s="10">
        <v>44742</v>
      </c>
      <c r="C162" s="9">
        <v>9</v>
      </c>
      <c r="D162" s="9" t="str">
        <f t="shared" si="15"/>
        <v>2203</v>
      </c>
      <c r="E162" s="11" t="str">
        <f t="shared" si="16"/>
        <v>Текущие счета юридических лиц</v>
      </c>
      <c r="F162" s="9" t="str">
        <f t="shared" si="17"/>
        <v>1</v>
      </c>
      <c r="G162" s="9" t="str">
        <f>"8"</f>
        <v>8</v>
      </c>
      <c r="H162" s="9" t="str">
        <f>"2"</f>
        <v>2</v>
      </c>
      <c r="I162" s="12">
        <v>29047.09</v>
      </c>
    </row>
    <row r="163" spans="1:9" x14ac:dyDescent="0.25">
      <c r="A163" s="9">
        <v>384</v>
      </c>
      <c r="B163" s="10">
        <v>44742</v>
      </c>
      <c r="C163" s="9">
        <v>9</v>
      </c>
      <c r="D163" s="9" t="str">
        <f t="shared" si="15"/>
        <v>2203</v>
      </c>
      <c r="E163" s="11" t="str">
        <f t="shared" si="16"/>
        <v>Текущие счета юридических лиц</v>
      </c>
      <c r="F163" s="9" t="str">
        <f t="shared" si="17"/>
        <v>1</v>
      </c>
      <c r="G163" s="9" t="str">
        <f>"8"</f>
        <v>8</v>
      </c>
      <c r="H163" s="9" t="str">
        <f>"3"</f>
        <v>3</v>
      </c>
      <c r="I163" s="12">
        <v>7800.75</v>
      </c>
    </row>
    <row r="164" spans="1:9" x14ac:dyDescent="0.25">
      <c r="A164" s="9">
        <v>349</v>
      </c>
      <c r="B164" s="10">
        <v>44742</v>
      </c>
      <c r="C164" s="9">
        <v>9</v>
      </c>
      <c r="D164" s="9" t="str">
        <f t="shared" si="15"/>
        <v>2203</v>
      </c>
      <c r="E164" s="11" t="str">
        <f t="shared" si="16"/>
        <v>Текущие счета юридических лиц</v>
      </c>
      <c r="F164" s="9" t="str">
        <f t="shared" ref="F164:F172" si="18">"2"</f>
        <v>2</v>
      </c>
      <c r="G164" s="9" t="str">
        <f>"1"</f>
        <v>1</v>
      </c>
      <c r="H164" s="9" t="str">
        <f>"1"</f>
        <v>1</v>
      </c>
      <c r="I164" s="12">
        <v>50643005.979999997</v>
      </c>
    </row>
    <row r="165" spans="1:9" x14ac:dyDescent="0.25">
      <c r="A165" s="9">
        <v>307</v>
      </c>
      <c r="B165" s="10">
        <v>44742</v>
      </c>
      <c r="C165" s="9">
        <v>9</v>
      </c>
      <c r="D165" s="9" t="str">
        <f t="shared" si="15"/>
        <v>2203</v>
      </c>
      <c r="E165" s="11" t="str">
        <f t="shared" si="16"/>
        <v>Текущие счета юридических лиц</v>
      </c>
      <c r="F165" s="9" t="str">
        <f t="shared" si="18"/>
        <v>2</v>
      </c>
      <c r="G165" s="9" t="str">
        <f>"1"</f>
        <v>1</v>
      </c>
      <c r="H165" s="9" t="str">
        <f>"2"</f>
        <v>2</v>
      </c>
      <c r="I165" s="12">
        <v>25790974.109999999</v>
      </c>
    </row>
    <row r="166" spans="1:9" x14ac:dyDescent="0.25">
      <c r="A166" s="9">
        <v>43</v>
      </c>
      <c r="B166" s="10">
        <v>44742</v>
      </c>
      <c r="C166" s="9">
        <v>9</v>
      </c>
      <c r="D166" s="9" t="str">
        <f t="shared" si="15"/>
        <v>2203</v>
      </c>
      <c r="E166" s="11" t="str">
        <f t="shared" si="16"/>
        <v>Текущие счета юридических лиц</v>
      </c>
      <c r="F166" s="9" t="str">
        <f t="shared" si="18"/>
        <v>2</v>
      </c>
      <c r="G166" s="9" t="str">
        <f>"5"</f>
        <v>5</v>
      </c>
      <c r="H166" s="9" t="str">
        <f>"1"</f>
        <v>1</v>
      </c>
      <c r="I166" s="12">
        <v>85437.43</v>
      </c>
    </row>
    <row r="167" spans="1:9" x14ac:dyDescent="0.25">
      <c r="A167" s="9">
        <v>363</v>
      </c>
      <c r="B167" s="10">
        <v>44742</v>
      </c>
      <c r="C167" s="9">
        <v>9</v>
      </c>
      <c r="D167" s="9" t="str">
        <f t="shared" si="15"/>
        <v>2203</v>
      </c>
      <c r="E167" s="11" t="str">
        <f t="shared" si="16"/>
        <v>Текущие счета юридических лиц</v>
      </c>
      <c r="F167" s="9" t="str">
        <f t="shared" si="18"/>
        <v>2</v>
      </c>
      <c r="G167" s="9" t="str">
        <f>"5"</f>
        <v>5</v>
      </c>
      <c r="H167" s="9" t="str">
        <f>"2"</f>
        <v>2</v>
      </c>
      <c r="I167" s="12">
        <v>80407.66</v>
      </c>
    </row>
    <row r="168" spans="1:9" x14ac:dyDescent="0.25">
      <c r="A168" s="9">
        <v>209</v>
      </c>
      <c r="B168" s="10">
        <v>44742</v>
      </c>
      <c r="C168" s="9">
        <v>9</v>
      </c>
      <c r="D168" s="9" t="str">
        <f t="shared" si="15"/>
        <v>2203</v>
      </c>
      <c r="E168" s="11" t="str">
        <f t="shared" si="16"/>
        <v>Текущие счета юридических лиц</v>
      </c>
      <c r="F168" s="9" t="str">
        <f t="shared" si="18"/>
        <v>2</v>
      </c>
      <c r="G168" s="9" t="str">
        <f>"5"</f>
        <v>5</v>
      </c>
      <c r="H168" s="9" t="str">
        <f>"3"</f>
        <v>3</v>
      </c>
      <c r="I168" s="12">
        <v>898018.5</v>
      </c>
    </row>
    <row r="169" spans="1:9" x14ac:dyDescent="0.25">
      <c r="A169" s="9">
        <v>256</v>
      </c>
      <c r="B169" s="10">
        <v>44742</v>
      </c>
      <c r="C169" s="9">
        <v>9</v>
      </c>
      <c r="D169" s="9" t="str">
        <f t="shared" si="15"/>
        <v>2203</v>
      </c>
      <c r="E169" s="11" t="str">
        <f t="shared" si="16"/>
        <v>Текущие счета юридических лиц</v>
      </c>
      <c r="F169" s="9" t="str">
        <f t="shared" si="18"/>
        <v>2</v>
      </c>
      <c r="G169" s="9" t="str">
        <f>"7"</f>
        <v>7</v>
      </c>
      <c r="H169" s="9" t="str">
        <f>"1"</f>
        <v>1</v>
      </c>
      <c r="I169" s="12">
        <v>783924484.07000005</v>
      </c>
    </row>
    <row r="170" spans="1:9" x14ac:dyDescent="0.25">
      <c r="A170" s="9">
        <v>14</v>
      </c>
      <c r="B170" s="10">
        <v>44742</v>
      </c>
      <c r="C170" s="9">
        <v>9</v>
      </c>
      <c r="D170" s="9" t="str">
        <f t="shared" si="15"/>
        <v>2203</v>
      </c>
      <c r="E170" s="11" t="str">
        <f t="shared" si="16"/>
        <v>Текущие счета юридических лиц</v>
      </c>
      <c r="F170" s="9" t="str">
        <f t="shared" si="18"/>
        <v>2</v>
      </c>
      <c r="G170" s="9" t="str">
        <f>"7"</f>
        <v>7</v>
      </c>
      <c r="H170" s="9" t="str">
        <f>"2"</f>
        <v>2</v>
      </c>
      <c r="I170" s="12">
        <v>1539239721.25</v>
      </c>
    </row>
    <row r="171" spans="1:9" x14ac:dyDescent="0.25">
      <c r="A171" s="9">
        <v>115</v>
      </c>
      <c r="B171" s="10">
        <v>44742</v>
      </c>
      <c r="C171" s="9">
        <v>9</v>
      </c>
      <c r="D171" s="9" t="str">
        <f t="shared" si="15"/>
        <v>2203</v>
      </c>
      <c r="E171" s="11" t="str">
        <f t="shared" si="16"/>
        <v>Текущие счета юридических лиц</v>
      </c>
      <c r="F171" s="9" t="str">
        <f t="shared" si="18"/>
        <v>2</v>
      </c>
      <c r="G171" s="9" t="str">
        <f>"7"</f>
        <v>7</v>
      </c>
      <c r="H171" s="9" t="str">
        <f>"3"</f>
        <v>3</v>
      </c>
      <c r="I171" s="12">
        <v>66442543.32</v>
      </c>
    </row>
    <row r="172" spans="1:9" x14ac:dyDescent="0.25">
      <c r="A172" s="9">
        <v>92</v>
      </c>
      <c r="B172" s="10">
        <v>44742</v>
      </c>
      <c r="C172" s="9">
        <v>9</v>
      </c>
      <c r="D172" s="9" t="str">
        <f t="shared" si="15"/>
        <v>2203</v>
      </c>
      <c r="E172" s="11" t="str">
        <f t="shared" si="16"/>
        <v>Текущие счета юридических лиц</v>
      </c>
      <c r="F172" s="9" t="str">
        <f t="shared" si="18"/>
        <v>2</v>
      </c>
      <c r="G172" s="9" t="str">
        <f>"8"</f>
        <v>8</v>
      </c>
      <c r="H172" s="9" t="str">
        <f>"1"</f>
        <v>1</v>
      </c>
      <c r="I172" s="12">
        <v>1248</v>
      </c>
    </row>
    <row r="173" spans="1:9" x14ac:dyDescent="0.25">
      <c r="A173" s="9">
        <v>188</v>
      </c>
      <c r="B173" s="10">
        <v>44742</v>
      </c>
      <c r="C173" s="9">
        <v>9</v>
      </c>
      <c r="D173" s="9" t="str">
        <f t="shared" ref="D173:D178" si="19">"2204"</f>
        <v>2204</v>
      </c>
      <c r="E173" s="11" t="str">
        <f t="shared" ref="E173:E178" si="20">"Текущие счета физических лиц"</f>
        <v>Текущие счета физических лиц</v>
      </c>
      <c r="F173" s="9" t="str">
        <f>"1"</f>
        <v>1</v>
      </c>
      <c r="G173" s="9" t="str">
        <f t="shared" ref="G173:G191" si="21">"9"</f>
        <v>9</v>
      </c>
      <c r="H173" s="9" t="str">
        <f>"1"</f>
        <v>1</v>
      </c>
      <c r="I173" s="12">
        <v>5903597618.3199997</v>
      </c>
    </row>
    <row r="174" spans="1:9" x14ac:dyDescent="0.25">
      <c r="A174" s="9">
        <v>228</v>
      </c>
      <c r="B174" s="10">
        <v>44742</v>
      </c>
      <c r="C174" s="9">
        <v>9</v>
      </c>
      <c r="D174" s="9" t="str">
        <f t="shared" si="19"/>
        <v>2204</v>
      </c>
      <c r="E174" s="11" t="str">
        <f t="shared" si="20"/>
        <v>Текущие счета физических лиц</v>
      </c>
      <c r="F174" s="9" t="str">
        <f>"1"</f>
        <v>1</v>
      </c>
      <c r="G174" s="9" t="str">
        <f t="shared" si="21"/>
        <v>9</v>
      </c>
      <c r="H174" s="9" t="str">
        <f>"2"</f>
        <v>2</v>
      </c>
      <c r="I174" s="12">
        <v>6515566964.6099997</v>
      </c>
    </row>
    <row r="175" spans="1:9" x14ac:dyDescent="0.25">
      <c r="A175" s="9">
        <v>93</v>
      </c>
      <c r="B175" s="10">
        <v>44742</v>
      </c>
      <c r="C175" s="9">
        <v>9</v>
      </c>
      <c r="D175" s="9" t="str">
        <f t="shared" si="19"/>
        <v>2204</v>
      </c>
      <c r="E175" s="11" t="str">
        <f t="shared" si="20"/>
        <v>Текущие счета физических лиц</v>
      </c>
      <c r="F175" s="9" t="str">
        <f>"1"</f>
        <v>1</v>
      </c>
      <c r="G175" s="9" t="str">
        <f t="shared" si="21"/>
        <v>9</v>
      </c>
      <c r="H175" s="9" t="str">
        <f>"3"</f>
        <v>3</v>
      </c>
      <c r="I175" s="12">
        <v>332726495.05000001</v>
      </c>
    </row>
    <row r="176" spans="1:9" x14ac:dyDescent="0.25">
      <c r="A176" s="9">
        <v>275</v>
      </c>
      <c r="B176" s="10">
        <v>44742</v>
      </c>
      <c r="C176" s="9">
        <v>9</v>
      </c>
      <c r="D176" s="9" t="str">
        <f t="shared" si="19"/>
        <v>2204</v>
      </c>
      <c r="E176" s="11" t="str">
        <f t="shared" si="20"/>
        <v>Текущие счета физических лиц</v>
      </c>
      <c r="F176" s="9" t="str">
        <f>"2"</f>
        <v>2</v>
      </c>
      <c r="G176" s="9" t="str">
        <f t="shared" si="21"/>
        <v>9</v>
      </c>
      <c r="H176" s="9" t="str">
        <f>"1"</f>
        <v>1</v>
      </c>
      <c r="I176" s="12">
        <v>244815194.19999999</v>
      </c>
    </row>
    <row r="177" spans="1:9" x14ac:dyDescent="0.25">
      <c r="A177" s="9">
        <v>385</v>
      </c>
      <c r="B177" s="10">
        <v>44742</v>
      </c>
      <c r="C177" s="9">
        <v>9</v>
      </c>
      <c r="D177" s="9" t="str">
        <f t="shared" si="19"/>
        <v>2204</v>
      </c>
      <c r="E177" s="11" t="str">
        <f t="shared" si="20"/>
        <v>Текущие счета физических лиц</v>
      </c>
      <c r="F177" s="9" t="str">
        <f>"2"</f>
        <v>2</v>
      </c>
      <c r="G177" s="9" t="str">
        <f t="shared" si="21"/>
        <v>9</v>
      </c>
      <c r="H177" s="9" t="str">
        <f>"2"</f>
        <v>2</v>
      </c>
      <c r="I177" s="12">
        <v>2306419669.0799999</v>
      </c>
    </row>
    <row r="178" spans="1:9" x14ac:dyDescent="0.25">
      <c r="A178" s="9">
        <v>264</v>
      </c>
      <c r="B178" s="10">
        <v>44742</v>
      </c>
      <c r="C178" s="9">
        <v>9</v>
      </c>
      <c r="D178" s="9" t="str">
        <f t="shared" si="19"/>
        <v>2204</v>
      </c>
      <c r="E178" s="11" t="str">
        <f t="shared" si="20"/>
        <v>Текущие счета физических лиц</v>
      </c>
      <c r="F178" s="9" t="str">
        <f>"2"</f>
        <v>2</v>
      </c>
      <c r="G178" s="9" t="str">
        <f t="shared" si="21"/>
        <v>9</v>
      </c>
      <c r="H178" s="9" t="str">
        <f>"3"</f>
        <v>3</v>
      </c>
      <c r="I178" s="12">
        <v>1206137101.9300001</v>
      </c>
    </row>
    <row r="179" spans="1:9" x14ac:dyDescent="0.25">
      <c r="A179" s="9">
        <v>51</v>
      </c>
      <c r="B179" s="10">
        <v>44742</v>
      </c>
      <c r="C179" s="9">
        <v>9</v>
      </c>
      <c r="D179" s="9" t="str">
        <f>"2205"</f>
        <v>2205</v>
      </c>
      <c r="E179" s="11" t="str">
        <f>"Вклады до востребования физических лиц"</f>
        <v>Вклады до востребования физических лиц</v>
      </c>
      <c r="F179" s="9" t="str">
        <f>"1"</f>
        <v>1</v>
      </c>
      <c r="G179" s="9" t="str">
        <f t="shared" si="21"/>
        <v>9</v>
      </c>
      <c r="H179" s="9" t="str">
        <f>"1"</f>
        <v>1</v>
      </c>
      <c r="I179" s="12">
        <v>4316.58</v>
      </c>
    </row>
    <row r="180" spans="1:9" x14ac:dyDescent="0.25">
      <c r="A180" s="9">
        <v>412</v>
      </c>
      <c r="B180" s="10">
        <v>44742</v>
      </c>
      <c r="C180" s="9">
        <v>9</v>
      </c>
      <c r="D180" s="9" t="str">
        <f t="shared" ref="D180:D185" si="22">"2206"</f>
        <v>2206</v>
      </c>
      <c r="E180" s="11" t="str">
        <f t="shared" ref="E180:E185" si="23">"Краткосрочные вклады физических лиц"</f>
        <v>Краткосрочные вклады физических лиц</v>
      </c>
      <c r="F180" s="9" t="str">
        <f>"1"</f>
        <v>1</v>
      </c>
      <c r="G180" s="9" t="str">
        <f t="shared" si="21"/>
        <v>9</v>
      </c>
      <c r="H180" s="9" t="str">
        <f>"1"</f>
        <v>1</v>
      </c>
      <c r="I180" s="12">
        <v>3736973126.27</v>
      </c>
    </row>
    <row r="181" spans="1:9" x14ac:dyDescent="0.25">
      <c r="A181" s="9">
        <v>133</v>
      </c>
      <c r="B181" s="10">
        <v>44742</v>
      </c>
      <c r="C181" s="9">
        <v>9</v>
      </c>
      <c r="D181" s="9" t="str">
        <f t="shared" si="22"/>
        <v>2206</v>
      </c>
      <c r="E181" s="11" t="str">
        <f t="shared" si="23"/>
        <v>Краткосрочные вклады физических лиц</v>
      </c>
      <c r="F181" s="9" t="str">
        <f>"1"</f>
        <v>1</v>
      </c>
      <c r="G181" s="9" t="str">
        <f t="shared" si="21"/>
        <v>9</v>
      </c>
      <c r="H181" s="9" t="str">
        <f>"2"</f>
        <v>2</v>
      </c>
      <c r="I181" s="12">
        <v>2927947981.6999998</v>
      </c>
    </row>
    <row r="182" spans="1:9" x14ac:dyDescent="0.25">
      <c r="A182" s="9">
        <v>132</v>
      </c>
      <c r="B182" s="10">
        <v>44742</v>
      </c>
      <c r="C182" s="9">
        <v>9</v>
      </c>
      <c r="D182" s="9" t="str">
        <f t="shared" si="22"/>
        <v>2206</v>
      </c>
      <c r="E182" s="11" t="str">
        <f t="shared" si="23"/>
        <v>Краткосрочные вклады физических лиц</v>
      </c>
      <c r="F182" s="9" t="str">
        <f>"1"</f>
        <v>1</v>
      </c>
      <c r="G182" s="9" t="str">
        <f t="shared" si="21"/>
        <v>9</v>
      </c>
      <c r="H182" s="9" t="str">
        <f>"3"</f>
        <v>3</v>
      </c>
      <c r="I182" s="12">
        <v>255367047.13999999</v>
      </c>
    </row>
    <row r="183" spans="1:9" x14ac:dyDescent="0.25">
      <c r="A183" s="9">
        <v>436</v>
      </c>
      <c r="B183" s="10">
        <v>44742</v>
      </c>
      <c r="C183" s="9">
        <v>9</v>
      </c>
      <c r="D183" s="9" t="str">
        <f t="shared" si="22"/>
        <v>2206</v>
      </c>
      <c r="E183" s="11" t="str">
        <f t="shared" si="23"/>
        <v>Краткосрочные вклады физических лиц</v>
      </c>
      <c r="F183" s="9" t="str">
        <f>"2"</f>
        <v>2</v>
      </c>
      <c r="G183" s="9" t="str">
        <f t="shared" si="21"/>
        <v>9</v>
      </c>
      <c r="H183" s="9" t="str">
        <f>"1"</f>
        <v>1</v>
      </c>
      <c r="I183" s="12">
        <v>181548847.93000001</v>
      </c>
    </row>
    <row r="184" spans="1:9" x14ac:dyDescent="0.25">
      <c r="A184" s="9">
        <v>135</v>
      </c>
      <c r="B184" s="10">
        <v>44742</v>
      </c>
      <c r="C184" s="9">
        <v>9</v>
      </c>
      <c r="D184" s="9" t="str">
        <f t="shared" si="22"/>
        <v>2206</v>
      </c>
      <c r="E184" s="11" t="str">
        <f t="shared" si="23"/>
        <v>Краткосрочные вклады физических лиц</v>
      </c>
      <c r="F184" s="9" t="str">
        <f>"2"</f>
        <v>2</v>
      </c>
      <c r="G184" s="9" t="str">
        <f t="shared" si="21"/>
        <v>9</v>
      </c>
      <c r="H184" s="9" t="str">
        <f>"2"</f>
        <v>2</v>
      </c>
      <c r="I184" s="12">
        <v>144966901.34999999</v>
      </c>
    </row>
    <row r="185" spans="1:9" x14ac:dyDescent="0.25">
      <c r="A185" s="9">
        <v>50</v>
      </c>
      <c r="B185" s="10">
        <v>44742</v>
      </c>
      <c r="C185" s="9">
        <v>9</v>
      </c>
      <c r="D185" s="9" t="str">
        <f t="shared" si="22"/>
        <v>2206</v>
      </c>
      <c r="E185" s="11" t="str">
        <f t="shared" si="23"/>
        <v>Краткосрочные вклады физических лиц</v>
      </c>
      <c r="F185" s="9" t="str">
        <f>"2"</f>
        <v>2</v>
      </c>
      <c r="G185" s="9" t="str">
        <f t="shared" si="21"/>
        <v>9</v>
      </c>
      <c r="H185" s="9" t="str">
        <f>"3"</f>
        <v>3</v>
      </c>
      <c r="I185" s="12">
        <v>54701305.32</v>
      </c>
    </row>
    <row r="186" spans="1:9" x14ac:dyDescent="0.25">
      <c r="A186" s="9">
        <v>211</v>
      </c>
      <c r="B186" s="10">
        <v>44742</v>
      </c>
      <c r="C186" s="9">
        <v>9</v>
      </c>
      <c r="D186" s="9" t="str">
        <f t="shared" ref="D186:D191" si="24">"2207"</f>
        <v>2207</v>
      </c>
      <c r="E186" s="11" t="str">
        <f t="shared" ref="E186:E191" si="25">"Долгосрочные вклады физических лиц"</f>
        <v>Долгосрочные вклады физических лиц</v>
      </c>
      <c r="F186" s="9" t="str">
        <f>"1"</f>
        <v>1</v>
      </c>
      <c r="G186" s="9" t="str">
        <f t="shared" si="21"/>
        <v>9</v>
      </c>
      <c r="H186" s="9" t="str">
        <f>"1"</f>
        <v>1</v>
      </c>
      <c r="I186" s="12">
        <v>7213396856.8400002</v>
      </c>
    </row>
    <row r="187" spans="1:9" x14ac:dyDescent="0.25">
      <c r="A187" s="9">
        <v>48</v>
      </c>
      <c r="B187" s="10">
        <v>44742</v>
      </c>
      <c r="C187" s="9">
        <v>9</v>
      </c>
      <c r="D187" s="9" t="str">
        <f t="shared" si="24"/>
        <v>2207</v>
      </c>
      <c r="E187" s="11" t="str">
        <f t="shared" si="25"/>
        <v>Долгосрочные вклады физических лиц</v>
      </c>
      <c r="F187" s="9" t="str">
        <f>"1"</f>
        <v>1</v>
      </c>
      <c r="G187" s="9" t="str">
        <f t="shared" si="21"/>
        <v>9</v>
      </c>
      <c r="H187" s="9" t="str">
        <f>"2"</f>
        <v>2</v>
      </c>
      <c r="I187" s="12">
        <v>11347831118.92</v>
      </c>
    </row>
    <row r="188" spans="1:9" x14ac:dyDescent="0.25">
      <c r="A188" s="9">
        <v>354</v>
      </c>
      <c r="B188" s="10">
        <v>44742</v>
      </c>
      <c r="C188" s="9">
        <v>9</v>
      </c>
      <c r="D188" s="9" t="str">
        <f t="shared" si="24"/>
        <v>2207</v>
      </c>
      <c r="E188" s="11" t="str">
        <f t="shared" si="25"/>
        <v>Долгосрочные вклады физических лиц</v>
      </c>
      <c r="F188" s="9" t="str">
        <f>"1"</f>
        <v>1</v>
      </c>
      <c r="G188" s="9" t="str">
        <f t="shared" si="21"/>
        <v>9</v>
      </c>
      <c r="H188" s="9" t="str">
        <f>"3"</f>
        <v>3</v>
      </c>
      <c r="I188" s="12">
        <v>241360811.11000001</v>
      </c>
    </row>
    <row r="189" spans="1:9" x14ac:dyDescent="0.25">
      <c r="A189" s="9">
        <v>49</v>
      </c>
      <c r="B189" s="10">
        <v>44742</v>
      </c>
      <c r="C189" s="9">
        <v>9</v>
      </c>
      <c r="D189" s="9" t="str">
        <f t="shared" si="24"/>
        <v>2207</v>
      </c>
      <c r="E189" s="11" t="str">
        <f t="shared" si="25"/>
        <v>Долгосрочные вклады физических лиц</v>
      </c>
      <c r="F189" s="9" t="str">
        <f>"2"</f>
        <v>2</v>
      </c>
      <c r="G189" s="9" t="str">
        <f t="shared" si="21"/>
        <v>9</v>
      </c>
      <c r="H189" s="9" t="str">
        <f>"1"</f>
        <v>1</v>
      </c>
      <c r="I189" s="12">
        <v>125327140.23999999</v>
      </c>
    </row>
    <row r="190" spans="1:9" x14ac:dyDescent="0.25">
      <c r="A190" s="9">
        <v>134</v>
      </c>
      <c r="B190" s="10">
        <v>44742</v>
      </c>
      <c r="C190" s="9">
        <v>9</v>
      </c>
      <c r="D190" s="9" t="str">
        <f t="shared" si="24"/>
        <v>2207</v>
      </c>
      <c r="E190" s="11" t="str">
        <f t="shared" si="25"/>
        <v>Долгосрочные вклады физических лиц</v>
      </c>
      <c r="F190" s="9" t="str">
        <f>"2"</f>
        <v>2</v>
      </c>
      <c r="G190" s="9" t="str">
        <f t="shared" si="21"/>
        <v>9</v>
      </c>
      <c r="H190" s="9" t="str">
        <f>"2"</f>
        <v>2</v>
      </c>
      <c r="I190" s="12">
        <v>94980026.909999996</v>
      </c>
    </row>
    <row r="191" spans="1:9" x14ac:dyDescent="0.25">
      <c r="A191" s="9">
        <v>435</v>
      </c>
      <c r="B191" s="10">
        <v>44742</v>
      </c>
      <c r="C191" s="9">
        <v>9</v>
      </c>
      <c r="D191" s="9" t="str">
        <f t="shared" si="24"/>
        <v>2207</v>
      </c>
      <c r="E191" s="11" t="str">
        <f t="shared" si="25"/>
        <v>Долгосрочные вклады физических лиц</v>
      </c>
      <c r="F191" s="9" t="str">
        <f>"2"</f>
        <v>2</v>
      </c>
      <c r="G191" s="9" t="str">
        <f t="shared" si="21"/>
        <v>9</v>
      </c>
      <c r="H191" s="9" t="str">
        <f>"3"</f>
        <v>3</v>
      </c>
      <c r="I191" s="12">
        <v>136354.57</v>
      </c>
    </row>
    <row r="192" spans="1:9" x14ac:dyDescent="0.25">
      <c r="A192" s="9">
        <v>156</v>
      </c>
      <c r="B192" s="10">
        <v>44742</v>
      </c>
      <c r="C192" s="9">
        <v>9</v>
      </c>
      <c r="D192" s="9" t="str">
        <f>"2211"</f>
        <v>2211</v>
      </c>
      <c r="E192" s="11" t="str">
        <f>"Вклады до востребования юридических лиц"</f>
        <v>Вклады до востребования юридических лиц</v>
      </c>
      <c r="F192" s="9" t="str">
        <f>"1"</f>
        <v>1</v>
      </c>
      <c r="G192" s="9" t="str">
        <f>"7"</f>
        <v>7</v>
      </c>
      <c r="H192" s="9" t="str">
        <f>"1"</f>
        <v>1</v>
      </c>
      <c r="I192" s="12">
        <v>1866152.93</v>
      </c>
    </row>
    <row r="193" spans="1:9" x14ac:dyDescent="0.25">
      <c r="A193" s="9">
        <v>116</v>
      </c>
      <c r="B193" s="10">
        <v>44742</v>
      </c>
      <c r="C193" s="9">
        <v>9</v>
      </c>
      <c r="D193" s="9" t="str">
        <f>"2211"</f>
        <v>2211</v>
      </c>
      <c r="E193" s="11" t="str">
        <f>"Вклады до востребования юридических лиц"</f>
        <v>Вклады до востребования юридических лиц</v>
      </c>
      <c r="F193" s="9" t="str">
        <f>"1"</f>
        <v>1</v>
      </c>
      <c r="G193" s="9" t="str">
        <f>"7"</f>
        <v>7</v>
      </c>
      <c r="H193" s="9" t="str">
        <f>"3"</f>
        <v>3</v>
      </c>
      <c r="I193" s="12">
        <v>135050.22</v>
      </c>
    </row>
    <row r="194" spans="1:9" x14ac:dyDescent="0.25">
      <c r="A194" s="9">
        <v>52</v>
      </c>
      <c r="B194" s="10">
        <v>44742</v>
      </c>
      <c r="C194" s="9">
        <v>9</v>
      </c>
      <c r="D194" s="9" t="str">
        <f>"2214"</f>
        <v>2214</v>
      </c>
      <c r="E194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194" s="9" t="str">
        <f>"1"</f>
        <v>1</v>
      </c>
      <c r="G194" s="9" t="str">
        <f>"9"</f>
        <v>9</v>
      </c>
      <c r="H194" s="9" t="str">
        <f>"1"</f>
        <v>1</v>
      </c>
      <c r="I194" s="12">
        <v>5465063019.5900002</v>
      </c>
    </row>
    <row r="195" spans="1:9" x14ac:dyDescent="0.25">
      <c r="A195" s="9">
        <v>250</v>
      </c>
      <c r="B195" s="10">
        <v>44742</v>
      </c>
      <c r="C195" s="9">
        <v>9</v>
      </c>
      <c r="D195" s="9" t="str">
        <f>"2214"</f>
        <v>2214</v>
      </c>
      <c r="E195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195" s="9" t="str">
        <f>"1"</f>
        <v>1</v>
      </c>
      <c r="G195" s="9" t="str">
        <f>"9"</f>
        <v>9</v>
      </c>
      <c r="H195" s="9" t="str">
        <f>"2"</f>
        <v>2</v>
      </c>
      <c r="I195" s="12">
        <v>45322479.780000001</v>
      </c>
    </row>
    <row r="196" spans="1:9" x14ac:dyDescent="0.25">
      <c r="A196" s="9">
        <v>16</v>
      </c>
      <c r="B196" s="10">
        <v>44742</v>
      </c>
      <c r="C196" s="9">
        <v>9</v>
      </c>
      <c r="D196" s="9" t="str">
        <f>"2214"</f>
        <v>2214</v>
      </c>
      <c r="E196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196" s="9" t="str">
        <f>"1"</f>
        <v>1</v>
      </c>
      <c r="G196" s="9" t="str">
        <f>"9"</f>
        <v>9</v>
      </c>
      <c r="H196" s="9" t="str">
        <f>"3"</f>
        <v>3</v>
      </c>
      <c r="I196" s="12">
        <v>4958930.75</v>
      </c>
    </row>
    <row r="197" spans="1:9" x14ac:dyDescent="0.25">
      <c r="A197" s="9">
        <v>375</v>
      </c>
      <c r="B197" s="10">
        <v>44742</v>
      </c>
      <c r="C197" s="9">
        <v>9</v>
      </c>
      <c r="D197" s="9" t="str">
        <f>"2214"</f>
        <v>2214</v>
      </c>
      <c r="E197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197" s="9" t="str">
        <f>"2"</f>
        <v>2</v>
      </c>
      <c r="G197" s="9" t="str">
        <f>"9"</f>
        <v>9</v>
      </c>
      <c r="H197" s="9" t="str">
        <f>"1"</f>
        <v>1</v>
      </c>
      <c r="I197" s="12">
        <v>134221132.58000001</v>
      </c>
    </row>
    <row r="198" spans="1:9" x14ac:dyDescent="0.25">
      <c r="A198" s="9">
        <v>387</v>
      </c>
      <c r="B198" s="10">
        <v>44742</v>
      </c>
      <c r="C198" s="9">
        <v>9</v>
      </c>
      <c r="D198" s="9" t="str">
        <f>"2215"</f>
        <v>2215</v>
      </c>
      <c r="E198" s="11" t="str">
        <f>"Краткосрочные вклады юридических лиц"</f>
        <v>Краткосрочные вклады юридических лиц</v>
      </c>
      <c r="F198" s="9" t="str">
        <f t="shared" ref="F198:F213" si="26">"1"</f>
        <v>1</v>
      </c>
      <c r="G198" s="9" t="str">
        <f>"5"</f>
        <v>5</v>
      </c>
      <c r="H198" s="9" t="str">
        <f>"1"</f>
        <v>1</v>
      </c>
      <c r="I198" s="12">
        <v>1001000</v>
      </c>
    </row>
    <row r="199" spans="1:9" x14ac:dyDescent="0.25">
      <c r="A199" s="9">
        <v>189</v>
      </c>
      <c r="B199" s="10">
        <v>44742</v>
      </c>
      <c r="C199" s="9">
        <v>9</v>
      </c>
      <c r="D199" s="9" t="str">
        <f>"2215"</f>
        <v>2215</v>
      </c>
      <c r="E199" s="11" t="str">
        <f>"Краткосрочные вклады юридических лиц"</f>
        <v>Краткосрочные вклады юридических лиц</v>
      </c>
      <c r="F199" s="9" t="str">
        <f t="shared" si="26"/>
        <v>1</v>
      </c>
      <c r="G199" s="9" t="str">
        <f>"6"</f>
        <v>6</v>
      </c>
      <c r="H199" s="9" t="str">
        <f>"1"</f>
        <v>1</v>
      </c>
      <c r="I199" s="12">
        <v>1000000</v>
      </c>
    </row>
    <row r="200" spans="1:9" x14ac:dyDescent="0.25">
      <c r="A200" s="9">
        <v>94</v>
      </c>
      <c r="B200" s="10">
        <v>44742</v>
      </c>
      <c r="C200" s="9">
        <v>9</v>
      </c>
      <c r="D200" s="9" t="str">
        <f>"2215"</f>
        <v>2215</v>
      </c>
      <c r="E200" s="11" t="str">
        <f>"Краткосрочные вклады юридических лиц"</f>
        <v>Краткосрочные вклады юридических лиц</v>
      </c>
      <c r="F200" s="9" t="str">
        <f t="shared" si="26"/>
        <v>1</v>
      </c>
      <c r="G200" s="9" t="str">
        <f>"7"</f>
        <v>7</v>
      </c>
      <c r="H200" s="9" t="str">
        <f>"1"</f>
        <v>1</v>
      </c>
      <c r="I200" s="12">
        <v>411089296.63</v>
      </c>
    </row>
    <row r="201" spans="1:9" x14ac:dyDescent="0.25">
      <c r="A201" s="9">
        <v>95</v>
      </c>
      <c r="B201" s="10">
        <v>44742</v>
      </c>
      <c r="C201" s="9">
        <v>9</v>
      </c>
      <c r="D201" s="9" t="str">
        <f>"2215"</f>
        <v>2215</v>
      </c>
      <c r="E201" s="11" t="str">
        <f>"Краткосрочные вклады юридических лиц"</f>
        <v>Краткосрочные вклады юридических лиц</v>
      </c>
      <c r="F201" s="9" t="str">
        <f t="shared" si="26"/>
        <v>1</v>
      </c>
      <c r="G201" s="9" t="str">
        <f>"7"</f>
        <v>7</v>
      </c>
      <c r="H201" s="9" t="str">
        <f>"3"</f>
        <v>3</v>
      </c>
      <c r="I201" s="12">
        <v>18267962.09</v>
      </c>
    </row>
    <row r="202" spans="1:9" x14ac:dyDescent="0.25">
      <c r="A202" s="9">
        <v>386</v>
      </c>
      <c r="B202" s="10">
        <v>44742</v>
      </c>
      <c r="C202" s="9">
        <v>9</v>
      </c>
      <c r="D202" s="9" t="str">
        <f>"2217"</f>
        <v>2217</v>
      </c>
      <c r="E202" s="11" t="str">
        <f>"Долгосрочные вклады юридических лиц"</f>
        <v>Долгосрочные вклады юридических лиц</v>
      </c>
      <c r="F202" s="9" t="str">
        <f t="shared" si="26"/>
        <v>1</v>
      </c>
      <c r="G202" s="9" t="str">
        <f>"5"</f>
        <v>5</v>
      </c>
      <c r="H202" s="9" t="str">
        <f t="shared" ref="H202:H211" si="27">"1"</f>
        <v>1</v>
      </c>
      <c r="I202" s="12">
        <v>2000000</v>
      </c>
    </row>
    <row r="203" spans="1:9" x14ac:dyDescent="0.25">
      <c r="A203" s="9">
        <v>168</v>
      </c>
      <c r="B203" s="10">
        <v>44742</v>
      </c>
      <c r="C203" s="9">
        <v>9</v>
      </c>
      <c r="D203" s="9" t="str">
        <f>"2217"</f>
        <v>2217</v>
      </c>
      <c r="E203" s="11" t="str">
        <f>"Долгосрочные вклады юридических лиц"</f>
        <v>Долгосрочные вклады юридических лиц</v>
      </c>
      <c r="F203" s="9" t="str">
        <f t="shared" si="26"/>
        <v>1</v>
      </c>
      <c r="G203" s="9" t="str">
        <f>"7"</f>
        <v>7</v>
      </c>
      <c r="H203" s="9" t="str">
        <f t="shared" si="27"/>
        <v>1</v>
      </c>
      <c r="I203" s="12">
        <v>82367101</v>
      </c>
    </row>
    <row r="204" spans="1:9" x14ac:dyDescent="0.25">
      <c r="A204" s="9">
        <v>278</v>
      </c>
      <c r="B204" s="10">
        <v>44742</v>
      </c>
      <c r="C204" s="9">
        <v>9</v>
      </c>
      <c r="D204" s="9" t="str">
        <f>"2218"</f>
        <v>2218</v>
      </c>
      <c r="E204" s="1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04" s="9" t="str">
        <f t="shared" si="26"/>
        <v>1</v>
      </c>
      <c r="G204" s="9" t="str">
        <f>"8"</f>
        <v>8</v>
      </c>
      <c r="H204" s="9" t="str">
        <f t="shared" si="27"/>
        <v>1</v>
      </c>
      <c r="I204" s="12">
        <v>585163.21</v>
      </c>
    </row>
    <row r="205" spans="1:9" x14ac:dyDescent="0.25">
      <c r="A205" s="9">
        <v>413</v>
      </c>
      <c r="B205" s="10">
        <v>44742</v>
      </c>
      <c r="C205" s="9">
        <v>9</v>
      </c>
      <c r="D205" s="9" t="str">
        <f>"2219"</f>
        <v>2219</v>
      </c>
      <c r="E205" s="11" t="str">
        <f>"Условные вклады юридических лиц"</f>
        <v>Условные вклады юридических лиц</v>
      </c>
      <c r="F205" s="9" t="str">
        <f t="shared" si="26"/>
        <v>1</v>
      </c>
      <c r="G205" s="9" t="str">
        <f>"5"</f>
        <v>5</v>
      </c>
      <c r="H205" s="9" t="str">
        <f t="shared" si="27"/>
        <v>1</v>
      </c>
      <c r="I205" s="12">
        <v>167357458.66</v>
      </c>
    </row>
    <row r="206" spans="1:9" x14ac:dyDescent="0.25">
      <c r="A206" s="9">
        <v>335</v>
      </c>
      <c r="B206" s="10">
        <v>44742</v>
      </c>
      <c r="C206" s="9">
        <v>9</v>
      </c>
      <c r="D206" s="9" t="str">
        <f>"2219"</f>
        <v>2219</v>
      </c>
      <c r="E206" s="11" t="str">
        <f>"Условные вклады юридических лиц"</f>
        <v>Условные вклады юридических лиц</v>
      </c>
      <c r="F206" s="9" t="str">
        <f t="shared" si="26"/>
        <v>1</v>
      </c>
      <c r="G206" s="9" t="str">
        <f>"7"</f>
        <v>7</v>
      </c>
      <c r="H206" s="9" t="str">
        <f t="shared" si="27"/>
        <v>1</v>
      </c>
      <c r="I206" s="12">
        <v>806248562.15999997</v>
      </c>
    </row>
    <row r="207" spans="1:9" ht="30" x14ac:dyDescent="0.25">
      <c r="A207" s="9">
        <v>437</v>
      </c>
      <c r="B207" s="10">
        <v>44742</v>
      </c>
      <c r="C207" s="9">
        <v>9</v>
      </c>
      <c r="D207" s="9" t="str">
        <f>"2220"</f>
        <v>2220</v>
      </c>
      <c r="E207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07" s="9" t="str">
        <f t="shared" si="26"/>
        <v>1</v>
      </c>
      <c r="G207" s="9" t="str">
        <f>"8"</f>
        <v>8</v>
      </c>
      <c r="H207" s="9" t="str">
        <f t="shared" si="27"/>
        <v>1</v>
      </c>
      <c r="I207" s="12">
        <v>4304902.57</v>
      </c>
    </row>
    <row r="208" spans="1:9" ht="30" x14ac:dyDescent="0.25">
      <c r="A208" s="9">
        <v>229</v>
      </c>
      <c r="B208" s="10">
        <v>44742</v>
      </c>
      <c r="C208" s="9">
        <v>9</v>
      </c>
      <c r="D208" s="9" t="str">
        <f>"2223"</f>
        <v>2223</v>
      </c>
      <c r="E208" s="1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08" s="9" t="str">
        <f t="shared" si="26"/>
        <v>1</v>
      </c>
      <c r="G208" s="9" t="str">
        <f>"7"</f>
        <v>7</v>
      </c>
      <c r="H208" s="9" t="str">
        <f t="shared" si="27"/>
        <v>1</v>
      </c>
      <c r="I208" s="12">
        <v>9708.59</v>
      </c>
    </row>
    <row r="209" spans="1:9" x14ac:dyDescent="0.25">
      <c r="A209" s="9">
        <v>204</v>
      </c>
      <c r="B209" s="10">
        <v>44742</v>
      </c>
      <c r="C209" s="9">
        <v>9</v>
      </c>
      <c r="D209" s="9" t="str">
        <f>"2227"</f>
        <v>2227</v>
      </c>
      <c r="E209" s="11" t="str">
        <f>"Обязательства по аренде"</f>
        <v>Обязательства по аренде</v>
      </c>
      <c r="F209" s="9" t="str">
        <f t="shared" si="26"/>
        <v>1</v>
      </c>
      <c r="G209" s="9" t="str">
        <f>"7"</f>
        <v>7</v>
      </c>
      <c r="H209" s="9" t="str">
        <f t="shared" si="27"/>
        <v>1</v>
      </c>
      <c r="I209" s="12">
        <v>3698230010.1900001</v>
      </c>
    </row>
    <row r="210" spans="1:9" x14ac:dyDescent="0.25">
      <c r="A210" s="9">
        <v>96</v>
      </c>
      <c r="B210" s="10">
        <v>44742</v>
      </c>
      <c r="C210" s="9">
        <v>9</v>
      </c>
      <c r="D210" s="9" t="str">
        <f>"2227"</f>
        <v>2227</v>
      </c>
      <c r="E210" s="11" t="str">
        <f>"Обязательства по аренде"</f>
        <v>Обязательства по аренде</v>
      </c>
      <c r="F210" s="9" t="str">
        <f t="shared" si="26"/>
        <v>1</v>
      </c>
      <c r="G210" s="9" t="str">
        <f t="shared" ref="G210:G215" si="28">"9"</f>
        <v>9</v>
      </c>
      <c r="H210" s="9" t="str">
        <f t="shared" si="27"/>
        <v>1</v>
      </c>
      <c r="I210" s="12">
        <v>600162572.76999998</v>
      </c>
    </row>
    <row r="211" spans="1:9" x14ac:dyDescent="0.25">
      <c r="A211" s="9">
        <v>326</v>
      </c>
      <c r="B211" s="10">
        <v>44742</v>
      </c>
      <c r="C211" s="9">
        <v>9</v>
      </c>
      <c r="D211" s="9" t="str">
        <f>"2229"</f>
        <v>2229</v>
      </c>
      <c r="E211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F211" s="9" t="str">
        <f t="shared" si="26"/>
        <v>1</v>
      </c>
      <c r="G211" s="9" t="str">
        <f t="shared" si="28"/>
        <v>9</v>
      </c>
      <c r="H211" s="9" t="str">
        <f t="shared" si="27"/>
        <v>1</v>
      </c>
      <c r="I211" s="12">
        <v>370094558.24000001</v>
      </c>
    </row>
    <row r="212" spans="1:9" x14ac:dyDescent="0.25">
      <c r="A212" s="9">
        <v>136</v>
      </c>
      <c r="B212" s="10">
        <v>44742</v>
      </c>
      <c r="C212" s="9">
        <v>9</v>
      </c>
      <c r="D212" s="9" t="str">
        <f>"2229"</f>
        <v>2229</v>
      </c>
      <c r="E212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F212" s="9" t="str">
        <f t="shared" si="26"/>
        <v>1</v>
      </c>
      <c r="G212" s="9" t="str">
        <f t="shared" si="28"/>
        <v>9</v>
      </c>
      <c r="H212" s="9" t="str">
        <f>"2"</f>
        <v>2</v>
      </c>
      <c r="I212" s="12">
        <v>458897893.06</v>
      </c>
    </row>
    <row r="213" spans="1:9" x14ac:dyDescent="0.25">
      <c r="A213" s="9">
        <v>414</v>
      </c>
      <c r="B213" s="10">
        <v>44742</v>
      </c>
      <c r="C213" s="9">
        <v>9</v>
      </c>
      <c r="D213" s="9" t="str">
        <f>"2229"</f>
        <v>2229</v>
      </c>
      <c r="E213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F213" s="9" t="str">
        <f t="shared" si="26"/>
        <v>1</v>
      </c>
      <c r="G213" s="9" t="str">
        <f t="shared" si="28"/>
        <v>9</v>
      </c>
      <c r="H213" s="9" t="str">
        <f>"3"</f>
        <v>3</v>
      </c>
      <c r="I213" s="12">
        <v>10592935.960000001</v>
      </c>
    </row>
    <row r="214" spans="1:9" x14ac:dyDescent="0.25">
      <c r="A214" s="9">
        <v>279</v>
      </c>
      <c r="B214" s="10">
        <v>44742</v>
      </c>
      <c r="C214" s="9">
        <v>9</v>
      </c>
      <c r="D214" s="9" t="str">
        <f>"2229"</f>
        <v>2229</v>
      </c>
      <c r="E214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F214" s="9" t="str">
        <f>"2"</f>
        <v>2</v>
      </c>
      <c r="G214" s="9" t="str">
        <f t="shared" si="28"/>
        <v>9</v>
      </c>
      <c r="H214" s="9" t="str">
        <f>"1"</f>
        <v>1</v>
      </c>
      <c r="I214" s="12">
        <v>12684682.560000001</v>
      </c>
    </row>
    <row r="215" spans="1:9" x14ac:dyDescent="0.25">
      <c r="A215" s="9">
        <v>169</v>
      </c>
      <c r="B215" s="10">
        <v>44742</v>
      </c>
      <c r="C215" s="9">
        <v>9</v>
      </c>
      <c r="D215" s="9" t="str">
        <f>"2229"</f>
        <v>2229</v>
      </c>
      <c r="E215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F215" s="9" t="str">
        <f>"2"</f>
        <v>2</v>
      </c>
      <c r="G215" s="9" t="str">
        <f t="shared" si="28"/>
        <v>9</v>
      </c>
      <c r="H215" s="9" t="str">
        <f>"2"</f>
        <v>2</v>
      </c>
      <c r="I215" s="12">
        <v>143614560.99000001</v>
      </c>
    </row>
    <row r="216" spans="1:9" ht="30" x14ac:dyDescent="0.25">
      <c r="A216" s="9">
        <v>18</v>
      </c>
      <c r="B216" s="10">
        <v>44742</v>
      </c>
      <c r="C216" s="9">
        <v>9</v>
      </c>
      <c r="D216" s="9" t="str">
        <f>"2234"</f>
        <v>2234</v>
      </c>
      <c r="E216" s="11" t="str">
        <f>"Счет отрицательной корректировки стоимости срочного вклада клиентов"</f>
        <v>Счет отрицательной корректировки стоимости срочного вклада клиентов</v>
      </c>
      <c r="F216" s="9" t="str">
        <f t="shared" ref="F216:F223" si="29">"1"</f>
        <v>1</v>
      </c>
      <c r="G216" s="9" t="str">
        <f>"5"</f>
        <v>5</v>
      </c>
      <c r="H216" s="9" t="str">
        <f>"1"</f>
        <v>1</v>
      </c>
      <c r="I216" s="12">
        <v>-42196070</v>
      </c>
    </row>
    <row r="217" spans="1:9" ht="30" x14ac:dyDescent="0.25">
      <c r="A217" s="9">
        <v>17</v>
      </c>
      <c r="B217" s="10">
        <v>44742</v>
      </c>
      <c r="C217" s="9">
        <v>9</v>
      </c>
      <c r="D217" s="9" t="str">
        <f t="shared" ref="D217:D226" si="30">"2237"</f>
        <v>2237</v>
      </c>
      <c r="E217" s="11" t="str">
        <f t="shared" ref="E217:E226" si="31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17" s="9" t="str">
        <f t="shared" si="29"/>
        <v>1</v>
      </c>
      <c r="G217" s="9" t="str">
        <f>"7"</f>
        <v>7</v>
      </c>
      <c r="H217" s="9" t="str">
        <f>"1"</f>
        <v>1</v>
      </c>
      <c r="I217" s="12">
        <v>26646627.699999999</v>
      </c>
    </row>
    <row r="218" spans="1:9" ht="30" x14ac:dyDescent="0.25">
      <c r="A218" s="9">
        <v>97</v>
      </c>
      <c r="B218" s="10">
        <v>44742</v>
      </c>
      <c r="C218" s="9">
        <v>9</v>
      </c>
      <c r="D218" s="9" t="str">
        <f t="shared" si="30"/>
        <v>2237</v>
      </c>
      <c r="E218" s="11" t="str">
        <f t="shared" si="31"/>
        <v>Счет хранения указаний отправителя в соответствии с валютным законодательством Республики Казахстан</v>
      </c>
      <c r="F218" s="9" t="str">
        <f t="shared" si="29"/>
        <v>1</v>
      </c>
      <c r="G218" s="9" t="str">
        <f>"7"</f>
        <v>7</v>
      </c>
      <c r="H218" s="9" t="str">
        <f>"2"</f>
        <v>2</v>
      </c>
      <c r="I218" s="12">
        <v>27324892.920000002</v>
      </c>
    </row>
    <row r="219" spans="1:9" ht="30" x14ac:dyDescent="0.25">
      <c r="A219" s="9">
        <v>257</v>
      </c>
      <c r="B219" s="10">
        <v>44742</v>
      </c>
      <c r="C219" s="9">
        <v>9</v>
      </c>
      <c r="D219" s="9" t="str">
        <f t="shared" si="30"/>
        <v>2237</v>
      </c>
      <c r="E219" s="11" t="str">
        <f t="shared" si="31"/>
        <v>Счет хранения указаний отправителя в соответствии с валютным законодательством Республики Казахстан</v>
      </c>
      <c r="F219" s="9" t="str">
        <f t="shared" si="29"/>
        <v>1</v>
      </c>
      <c r="G219" s="9" t="str">
        <f>"7"</f>
        <v>7</v>
      </c>
      <c r="H219" s="9" t="str">
        <f>"3"</f>
        <v>3</v>
      </c>
      <c r="I219" s="12">
        <v>29498289.530000001</v>
      </c>
    </row>
    <row r="220" spans="1:9" ht="30" x14ac:dyDescent="0.25">
      <c r="A220" s="9">
        <v>388</v>
      </c>
      <c r="B220" s="10">
        <v>44742</v>
      </c>
      <c r="C220" s="9">
        <v>9</v>
      </c>
      <c r="D220" s="9" t="str">
        <f t="shared" si="30"/>
        <v>2237</v>
      </c>
      <c r="E220" s="11" t="str">
        <f t="shared" si="31"/>
        <v>Счет хранения указаний отправителя в соответствии с валютным законодательством Республики Казахстан</v>
      </c>
      <c r="F220" s="9" t="str">
        <f t="shared" si="29"/>
        <v>1</v>
      </c>
      <c r="G220" s="9" t="str">
        <f>"8"</f>
        <v>8</v>
      </c>
      <c r="H220" s="9" t="str">
        <f>"1"</f>
        <v>1</v>
      </c>
      <c r="I220" s="12">
        <v>150702</v>
      </c>
    </row>
    <row r="221" spans="1:9" ht="30" x14ac:dyDescent="0.25">
      <c r="A221" s="9">
        <v>340</v>
      </c>
      <c r="B221" s="10">
        <v>44742</v>
      </c>
      <c r="C221" s="9">
        <v>9</v>
      </c>
      <c r="D221" s="9" t="str">
        <f t="shared" si="30"/>
        <v>2237</v>
      </c>
      <c r="E221" s="11" t="str">
        <f t="shared" si="31"/>
        <v>Счет хранения указаний отправителя в соответствии с валютным законодательством Республики Казахстан</v>
      </c>
      <c r="F221" s="9" t="str">
        <f t="shared" si="29"/>
        <v>1</v>
      </c>
      <c r="G221" s="9" t="str">
        <f>"9"</f>
        <v>9</v>
      </c>
      <c r="H221" s="9" t="str">
        <f>"1"</f>
        <v>1</v>
      </c>
      <c r="I221" s="12">
        <v>3963024.69</v>
      </c>
    </row>
    <row r="222" spans="1:9" ht="30" x14ac:dyDescent="0.25">
      <c r="A222" s="9">
        <v>327</v>
      </c>
      <c r="B222" s="10">
        <v>44742</v>
      </c>
      <c r="C222" s="9">
        <v>9</v>
      </c>
      <c r="D222" s="9" t="str">
        <f t="shared" si="30"/>
        <v>2237</v>
      </c>
      <c r="E222" s="11" t="str">
        <f t="shared" si="31"/>
        <v>Счет хранения указаний отправителя в соответствии с валютным законодательством Республики Казахстан</v>
      </c>
      <c r="F222" s="9" t="str">
        <f t="shared" si="29"/>
        <v>1</v>
      </c>
      <c r="G222" s="9" t="str">
        <f>"9"</f>
        <v>9</v>
      </c>
      <c r="H222" s="9" t="str">
        <f>"2"</f>
        <v>2</v>
      </c>
      <c r="I222" s="12">
        <v>2857262.76</v>
      </c>
    </row>
    <row r="223" spans="1:9" ht="30" x14ac:dyDescent="0.25">
      <c r="A223" s="9">
        <v>53</v>
      </c>
      <c r="B223" s="10">
        <v>44742</v>
      </c>
      <c r="C223" s="9">
        <v>9</v>
      </c>
      <c r="D223" s="9" t="str">
        <f t="shared" si="30"/>
        <v>2237</v>
      </c>
      <c r="E223" s="11" t="str">
        <f t="shared" si="31"/>
        <v>Счет хранения указаний отправителя в соответствии с валютным законодательством Республики Казахстан</v>
      </c>
      <c r="F223" s="9" t="str">
        <f t="shared" si="29"/>
        <v>1</v>
      </c>
      <c r="G223" s="9" t="str">
        <f>"9"</f>
        <v>9</v>
      </c>
      <c r="H223" s="9" t="str">
        <f>"3"</f>
        <v>3</v>
      </c>
      <c r="I223" s="12">
        <v>7680794</v>
      </c>
    </row>
    <row r="224" spans="1:9" ht="30" x14ac:dyDescent="0.25">
      <c r="A224" s="9">
        <v>190</v>
      </c>
      <c r="B224" s="10">
        <v>44742</v>
      </c>
      <c r="C224" s="9">
        <v>9</v>
      </c>
      <c r="D224" s="9" t="str">
        <f t="shared" si="30"/>
        <v>2237</v>
      </c>
      <c r="E224" s="11" t="str">
        <f t="shared" si="31"/>
        <v>Счет хранения указаний отправителя в соответствии с валютным законодательством Республики Казахстан</v>
      </c>
      <c r="F224" s="9" t="str">
        <f>"2"</f>
        <v>2</v>
      </c>
      <c r="G224" s="9" t="str">
        <f>"7"</f>
        <v>7</v>
      </c>
      <c r="H224" s="9" t="str">
        <f>"3"</f>
        <v>3</v>
      </c>
      <c r="I224" s="12">
        <v>6879398.4000000004</v>
      </c>
    </row>
    <row r="225" spans="1:9" ht="30" x14ac:dyDescent="0.25">
      <c r="A225" s="9">
        <v>365</v>
      </c>
      <c r="B225" s="10">
        <v>44742</v>
      </c>
      <c r="C225" s="9">
        <v>9</v>
      </c>
      <c r="D225" s="9" t="str">
        <f t="shared" si="30"/>
        <v>2237</v>
      </c>
      <c r="E225" s="11" t="str">
        <f t="shared" si="31"/>
        <v>Счет хранения указаний отправителя в соответствии с валютным законодательством Республики Казахстан</v>
      </c>
      <c r="F225" s="9" t="str">
        <f>"2"</f>
        <v>2</v>
      </c>
      <c r="G225" s="9" t="str">
        <f>"9"</f>
        <v>9</v>
      </c>
      <c r="H225" s="9" t="str">
        <f>"1"</f>
        <v>1</v>
      </c>
      <c r="I225" s="12">
        <v>140000</v>
      </c>
    </row>
    <row r="226" spans="1:9" ht="30" x14ac:dyDescent="0.25">
      <c r="A226" s="9">
        <v>364</v>
      </c>
      <c r="B226" s="10">
        <v>44742</v>
      </c>
      <c r="C226" s="9">
        <v>9</v>
      </c>
      <c r="D226" s="9" t="str">
        <f t="shared" si="30"/>
        <v>2237</v>
      </c>
      <c r="E226" s="11" t="str">
        <f t="shared" si="31"/>
        <v>Счет хранения указаний отправителя в соответствии с валютным законодательством Республики Казахстан</v>
      </c>
      <c r="F226" s="9" t="str">
        <f>"2"</f>
        <v>2</v>
      </c>
      <c r="G226" s="9" t="str">
        <f>"9"</f>
        <v>9</v>
      </c>
      <c r="H226" s="9" t="str">
        <f>"2"</f>
        <v>2</v>
      </c>
      <c r="I226" s="12">
        <v>761080.67</v>
      </c>
    </row>
    <row r="227" spans="1:9" ht="30" x14ac:dyDescent="0.25">
      <c r="A227" s="9">
        <v>291</v>
      </c>
      <c r="B227" s="10">
        <v>44742</v>
      </c>
      <c r="C227" s="9">
        <v>9</v>
      </c>
      <c r="D227" s="9" t="str">
        <f t="shared" ref="D227:D235" si="32">"2240"</f>
        <v>2240</v>
      </c>
      <c r="E227" s="11" t="str">
        <f t="shared" ref="E227:E235" si="33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27" s="9" t="str">
        <f t="shared" ref="F227:F234" si="34">"1"</f>
        <v>1</v>
      </c>
      <c r="G227" s="9" t="str">
        <f>"5"</f>
        <v>5</v>
      </c>
      <c r="H227" s="9" t="str">
        <f>"1"</f>
        <v>1</v>
      </c>
      <c r="I227" s="12">
        <v>32418002</v>
      </c>
    </row>
    <row r="228" spans="1:9" ht="30" x14ac:dyDescent="0.25">
      <c r="A228" s="9">
        <v>170</v>
      </c>
      <c r="B228" s="10">
        <v>44742</v>
      </c>
      <c r="C228" s="9">
        <v>9</v>
      </c>
      <c r="D228" s="9" t="str">
        <f t="shared" si="32"/>
        <v>2240</v>
      </c>
      <c r="E228" s="11" t="str">
        <f t="shared" si="33"/>
        <v>Счет хранения денег, принятых в качестве обеспечения (заклад, задаток) обязательств клиентов</v>
      </c>
      <c r="F228" s="9" t="str">
        <f t="shared" si="34"/>
        <v>1</v>
      </c>
      <c r="G228" s="9" t="str">
        <f>"6"</f>
        <v>6</v>
      </c>
      <c r="H228" s="9" t="str">
        <f>"1"</f>
        <v>1</v>
      </c>
      <c r="I228" s="12">
        <v>164948907.88999999</v>
      </c>
    </row>
    <row r="229" spans="1:9" ht="30" x14ac:dyDescent="0.25">
      <c r="A229" s="9">
        <v>230</v>
      </c>
      <c r="B229" s="10">
        <v>44742</v>
      </c>
      <c r="C229" s="9">
        <v>9</v>
      </c>
      <c r="D229" s="9" t="str">
        <f t="shared" si="32"/>
        <v>2240</v>
      </c>
      <c r="E229" s="11" t="str">
        <f t="shared" si="33"/>
        <v>Счет хранения денег, принятых в качестве обеспечения (заклад, задаток) обязательств клиентов</v>
      </c>
      <c r="F229" s="9" t="str">
        <f t="shared" si="34"/>
        <v>1</v>
      </c>
      <c r="G229" s="9" t="str">
        <f>"7"</f>
        <v>7</v>
      </c>
      <c r="H229" s="9" t="str">
        <f>"1"</f>
        <v>1</v>
      </c>
      <c r="I229" s="12">
        <v>1284107482.9000001</v>
      </c>
    </row>
    <row r="230" spans="1:9" ht="30" x14ac:dyDescent="0.25">
      <c r="A230" s="9">
        <v>191</v>
      </c>
      <c r="B230" s="10">
        <v>44742</v>
      </c>
      <c r="C230" s="9">
        <v>9</v>
      </c>
      <c r="D230" s="9" t="str">
        <f t="shared" si="32"/>
        <v>2240</v>
      </c>
      <c r="E230" s="11" t="str">
        <f t="shared" si="33"/>
        <v>Счет хранения денег, принятых в качестве обеспечения (заклад, задаток) обязательств клиентов</v>
      </c>
      <c r="F230" s="9" t="str">
        <f t="shared" si="34"/>
        <v>1</v>
      </c>
      <c r="G230" s="9" t="str">
        <f>"7"</f>
        <v>7</v>
      </c>
      <c r="H230" s="9" t="str">
        <f>"2"</f>
        <v>2</v>
      </c>
      <c r="I230" s="12">
        <v>298129795.94999999</v>
      </c>
    </row>
    <row r="231" spans="1:9" ht="30" x14ac:dyDescent="0.25">
      <c r="A231" s="9">
        <v>98</v>
      </c>
      <c r="B231" s="10">
        <v>44742</v>
      </c>
      <c r="C231" s="9">
        <v>9</v>
      </c>
      <c r="D231" s="9" t="str">
        <f t="shared" si="32"/>
        <v>2240</v>
      </c>
      <c r="E231" s="11" t="str">
        <f t="shared" si="33"/>
        <v>Счет хранения денег, принятых в качестве обеспечения (заклад, задаток) обязательств клиентов</v>
      </c>
      <c r="F231" s="9" t="str">
        <f t="shared" si="34"/>
        <v>1</v>
      </c>
      <c r="G231" s="9" t="str">
        <f>"7"</f>
        <v>7</v>
      </c>
      <c r="H231" s="9" t="str">
        <f>"3"</f>
        <v>3</v>
      </c>
      <c r="I231" s="12">
        <v>46877110.159999996</v>
      </c>
    </row>
    <row r="232" spans="1:9" ht="30" x14ac:dyDescent="0.25">
      <c r="A232" s="9">
        <v>317</v>
      </c>
      <c r="B232" s="10">
        <v>44742</v>
      </c>
      <c r="C232" s="9">
        <v>9</v>
      </c>
      <c r="D232" s="9" t="str">
        <f t="shared" si="32"/>
        <v>2240</v>
      </c>
      <c r="E232" s="11" t="str">
        <f t="shared" si="33"/>
        <v>Счет хранения денег, принятых в качестве обеспечения (заклад, задаток) обязательств клиентов</v>
      </c>
      <c r="F232" s="9" t="str">
        <f t="shared" si="34"/>
        <v>1</v>
      </c>
      <c r="G232" s="9" t="str">
        <f>"8"</f>
        <v>8</v>
      </c>
      <c r="H232" s="9" t="str">
        <f>"1"</f>
        <v>1</v>
      </c>
      <c r="I232" s="12">
        <v>5876451.46</v>
      </c>
    </row>
    <row r="233" spans="1:9" ht="30" x14ac:dyDescent="0.25">
      <c r="A233" s="9">
        <v>19</v>
      </c>
      <c r="B233" s="10">
        <v>44742</v>
      </c>
      <c r="C233" s="9">
        <v>9</v>
      </c>
      <c r="D233" s="9" t="str">
        <f t="shared" si="32"/>
        <v>2240</v>
      </c>
      <c r="E233" s="11" t="str">
        <f t="shared" si="33"/>
        <v>Счет хранения денег, принятых в качестве обеспечения (заклад, задаток) обязательств клиентов</v>
      </c>
      <c r="F233" s="9" t="str">
        <f t="shared" si="34"/>
        <v>1</v>
      </c>
      <c r="G233" s="9" t="str">
        <f>"9"</f>
        <v>9</v>
      </c>
      <c r="H233" s="9" t="str">
        <f>"1"</f>
        <v>1</v>
      </c>
      <c r="I233" s="12">
        <v>14090361.34</v>
      </c>
    </row>
    <row r="234" spans="1:9" ht="30" x14ac:dyDescent="0.25">
      <c r="A234" s="9">
        <v>280</v>
      </c>
      <c r="B234" s="10">
        <v>44742</v>
      </c>
      <c r="C234" s="9">
        <v>9</v>
      </c>
      <c r="D234" s="9" t="str">
        <f t="shared" si="32"/>
        <v>2240</v>
      </c>
      <c r="E234" s="11" t="str">
        <f t="shared" si="33"/>
        <v>Счет хранения денег, принятых в качестве обеспечения (заклад, задаток) обязательств клиентов</v>
      </c>
      <c r="F234" s="9" t="str">
        <f t="shared" si="34"/>
        <v>1</v>
      </c>
      <c r="G234" s="9" t="str">
        <f>"9"</f>
        <v>9</v>
      </c>
      <c r="H234" s="9" t="str">
        <f>"2"</f>
        <v>2</v>
      </c>
      <c r="I234" s="12">
        <v>42573935.109999999</v>
      </c>
    </row>
    <row r="235" spans="1:9" ht="30" x14ac:dyDescent="0.25">
      <c r="A235" s="9">
        <v>350</v>
      </c>
      <c r="B235" s="10">
        <v>44742</v>
      </c>
      <c r="C235" s="9">
        <v>9</v>
      </c>
      <c r="D235" s="9" t="str">
        <f t="shared" si="32"/>
        <v>2240</v>
      </c>
      <c r="E235" s="11" t="str">
        <f t="shared" si="33"/>
        <v>Счет хранения денег, принятых в качестве обеспечения (заклад, задаток) обязательств клиентов</v>
      </c>
      <c r="F235" s="9" t="str">
        <f>"2"</f>
        <v>2</v>
      </c>
      <c r="G235" s="9" t="str">
        <f>"9"</f>
        <v>9</v>
      </c>
      <c r="H235" s="9" t="str">
        <f>"2"</f>
        <v>2</v>
      </c>
      <c r="I235" s="12">
        <v>5554626.04</v>
      </c>
    </row>
    <row r="236" spans="1:9" x14ac:dyDescent="0.25">
      <c r="A236" s="9">
        <v>328</v>
      </c>
      <c r="B236" s="10">
        <v>44742</v>
      </c>
      <c r="C236" s="9">
        <v>9</v>
      </c>
      <c r="D236" s="9" t="str">
        <f>"2301"</f>
        <v>2301</v>
      </c>
      <c r="E236" s="11" t="str">
        <f>"Выпущенные в обращение облигации"</f>
        <v>Выпущенные в обращение облигации</v>
      </c>
      <c r="F236" s="9" t="str">
        <f t="shared" ref="F236:F242" si="35">"1"</f>
        <v>1</v>
      </c>
      <c r="G236" s="9" t="str">
        <f>"4"</f>
        <v>4</v>
      </c>
      <c r="H236" s="9" t="str">
        <f>"1"</f>
        <v>1</v>
      </c>
      <c r="I236" s="12">
        <v>15000000000</v>
      </c>
    </row>
    <row r="237" spans="1:9" x14ac:dyDescent="0.25">
      <c r="A237" s="9">
        <v>232</v>
      </c>
      <c r="B237" s="10">
        <v>44742</v>
      </c>
      <c r="C237" s="9">
        <v>9</v>
      </c>
      <c r="D237" s="9" t="str">
        <f>"2306"</f>
        <v>2306</v>
      </c>
      <c r="E237" s="11" t="str">
        <f>"Выкупленные облигации"</f>
        <v>Выкупленные облигации</v>
      </c>
      <c r="F237" s="9" t="str">
        <f t="shared" si="35"/>
        <v>1</v>
      </c>
      <c r="G237" s="9" t="str">
        <f>"4"</f>
        <v>4</v>
      </c>
      <c r="H237" s="9" t="str">
        <f>"1"</f>
        <v>1</v>
      </c>
      <c r="I237" s="12">
        <v>-10496344000</v>
      </c>
    </row>
    <row r="238" spans="1:9" ht="45" x14ac:dyDescent="0.25">
      <c r="A238" s="9">
        <v>246</v>
      </c>
      <c r="B238" s="10">
        <v>44742</v>
      </c>
      <c r="C238" s="9">
        <v>9</v>
      </c>
      <c r="D238" s="9" t="str">
        <f>"2707"</f>
        <v>2707</v>
      </c>
      <c r="E238" s="1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238" s="9" t="str">
        <f t="shared" si="35"/>
        <v>1</v>
      </c>
      <c r="G238" s="9" t="str">
        <f>"9"</f>
        <v>9</v>
      </c>
      <c r="H238" s="9" t="str">
        <f>"2"</f>
        <v>2</v>
      </c>
      <c r="I238" s="12">
        <v>96541.99</v>
      </c>
    </row>
    <row r="239" spans="1:9" x14ac:dyDescent="0.25">
      <c r="A239" s="9">
        <v>258</v>
      </c>
      <c r="B239" s="10">
        <v>44742</v>
      </c>
      <c r="C239" s="9">
        <v>9</v>
      </c>
      <c r="D239" s="9" t="str">
        <f>"2719"</f>
        <v>2719</v>
      </c>
      <c r="E239" s="11" t="str">
        <f>"Начисленные расходы по условным вкладам клиентов"</f>
        <v>Начисленные расходы по условным вкладам клиентов</v>
      </c>
      <c r="F239" s="9" t="str">
        <f t="shared" si="35"/>
        <v>1</v>
      </c>
      <c r="G239" s="9" t="str">
        <f>"7"</f>
        <v>7</v>
      </c>
      <c r="H239" s="9" t="str">
        <f>"1"</f>
        <v>1</v>
      </c>
      <c r="I239" s="12">
        <v>21871439.07</v>
      </c>
    </row>
    <row r="240" spans="1:9" x14ac:dyDescent="0.25">
      <c r="A240" s="9">
        <v>54</v>
      </c>
      <c r="B240" s="10">
        <v>44742</v>
      </c>
      <c r="C240" s="9">
        <v>9</v>
      </c>
      <c r="D240" s="9" t="str">
        <f>"2721"</f>
        <v>2721</v>
      </c>
      <c r="E240" s="11" t="str">
        <f>"Начисленные расходы по срочным вкладам клиентов"</f>
        <v>Начисленные расходы по срочным вкладам клиентов</v>
      </c>
      <c r="F240" s="9" t="str">
        <f t="shared" si="35"/>
        <v>1</v>
      </c>
      <c r="G240" s="9" t="str">
        <f>"7"</f>
        <v>7</v>
      </c>
      <c r="H240" s="9" t="str">
        <f>"1"</f>
        <v>1</v>
      </c>
      <c r="I240" s="12">
        <v>1950668.66</v>
      </c>
    </row>
    <row r="241" spans="1:9" x14ac:dyDescent="0.25">
      <c r="A241" s="9">
        <v>281</v>
      </c>
      <c r="B241" s="10">
        <v>44742</v>
      </c>
      <c r="C241" s="9">
        <v>9</v>
      </c>
      <c r="D241" s="9" t="str">
        <f>"2721"</f>
        <v>2721</v>
      </c>
      <c r="E241" s="11" t="str">
        <f>"Начисленные расходы по срочным вкладам клиентов"</f>
        <v>Начисленные расходы по срочным вкладам клиентов</v>
      </c>
      <c r="F241" s="9" t="str">
        <f t="shared" si="35"/>
        <v>1</v>
      </c>
      <c r="G241" s="9" t="str">
        <f>"9"</f>
        <v>9</v>
      </c>
      <c r="H241" s="9" t="str">
        <f>"1"</f>
        <v>1</v>
      </c>
      <c r="I241" s="12">
        <v>8126.03</v>
      </c>
    </row>
    <row r="242" spans="1:9" x14ac:dyDescent="0.25">
      <c r="A242" s="9">
        <v>137</v>
      </c>
      <c r="B242" s="10">
        <v>44742</v>
      </c>
      <c r="C242" s="9">
        <v>9</v>
      </c>
      <c r="D242" s="9" t="str">
        <f>"2721"</f>
        <v>2721</v>
      </c>
      <c r="E242" s="11" t="str">
        <f>"Начисленные расходы по срочным вкладам клиентов"</f>
        <v>Начисленные расходы по срочным вкладам клиентов</v>
      </c>
      <c r="F242" s="9" t="str">
        <f t="shared" si="35"/>
        <v>1</v>
      </c>
      <c r="G242" s="9" t="str">
        <f>"9"</f>
        <v>9</v>
      </c>
      <c r="H242" s="9" t="str">
        <f>"2"</f>
        <v>2</v>
      </c>
      <c r="I242" s="12">
        <v>56.44</v>
      </c>
    </row>
    <row r="243" spans="1:9" x14ac:dyDescent="0.25">
      <c r="A243" s="9">
        <v>20</v>
      </c>
      <c r="B243" s="10">
        <v>44742</v>
      </c>
      <c r="C243" s="9">
        <v>9</v>
      </c>
      <c r="D243" s="9" t="str">
        <f>"2721"</f>
        <v>2721</v>
      </c>
      <c r="E243" s="11" t="str">
        <f>"Начисленные расходы по срочным вкладам клиентов"</f>
        <v>Начисленные расходы по срочным вкладам клиентов</v>
      </c>
      <c r="F243" s="9" t="str">
        <f>"2"</f>
        <v>2</v>
      </c>
      <c r="G243" s="9" t="str">
        <f>"9"</f>
        <v>9</v>
      </c>
      <c r="H243" s="9" t="str">
        <f>"2"</f>
        <v>2</v>
      </c>
      <c r="I243" s="12">
        <v>108.18</v>
      </c>
    </row>
    <row r="244" spans="1:9" x14ac:dyDescent="0.25">
      <c r="A244" s="9">
        <v>231</v>
      </c>
      <c r="B244" s="10">
        <v>44742</v>
      </c>
      <c r="C244" s="9">
        <v>9</v>
      </c>
      <c r="D244" s="9" t="str">
        <f>"2724"</f>
        <v>2724</v>
      </c>
      <c r="E244" s="11" t="str">
        <f>"Начисленные расходы по сберегательным вкладам клиентов"</f>
        <v>Начисленные расходы по сберегательным вкладам клиентов</v>
      </c>
      <c r="F244" s="9" t="str">
        <f>"1"</f>
        <v>1</v>
      </c>
      <c r="G244" s="9" t="str">
        <f>"8"</f>
        <v>8</v>
      </c>
      <c r="H244" s="9" t="str">
        <f>"1"</f>
        <v>1</v>
      </c>
      <c r="I244" s="12">
        <v>7438.8</v>
      </c>
    </row>
    <row r="245" spans="1:9" x14ac:dyDescent="0.25">
      <c r="A245" s="9">
        <v>55</v>
      </c>
      <c r="B245" s="10">
        <v>44742</v>
      </c>
      <c r="C245" s="9">
        <v>9</v>
      </c>
      <c r="D245" s="9" t="str">
        <f>"2724"</f>
        <v>2724</v>
      </c>
      <c r="E245" s="11" t="str">
        <f>"Начисленные расходы по сберегательным вкладам клиентов"</f>
        <v>Начисленные расходы по сберегательным вкладам клиентов</v>
      </c>
      <c r="F245" s="9" t="str">
        <f>"1"</f>
        <v>1</v>
      </c>
      <c r="G245" s="9" t="str">
        <f>"9"</f>
        <v>9</v>
      </c>
      <c r="H245" s="9" t="str">
        <f>"1"</f>
        <v>1</v>
      </c>
      <c r="I245" s="12">
        <v>3367.87</v>
      </c>
    </row>
    <row r="246" spans="1:9" x14ac:dyDescent="0.25">
      <c r="A246" s="9">
        <v>171</v>
      </c>
      <c r="B246" s="10">
        <v>44742</v>
      </c>
      <c r="C246" s="9">
        <v>9</v>
      </c>
      <c r="D246" s="9" t="str">
        <f>"2724"</f>
        <v>2724</v>
      </c>
      <c r="E246" s="11" t="str">
        <f>"Начисленные расходы по сберегательным вкладам клиентов"</f>
        <v>Начисленные расходы по сберегательным вкладам клиентов</v>
      </c>
      <c r="F246" s="9" t="str">
        <f>"2"</f>
        <v>2</v>
      </c>
      <c r="G246" s="9" t="str">
        <f>"9"</f>
        <v>9</v>
      </c>
      <c r="H246" s="9" t="str">
        <f>"2"</f>
        <v>2</v>
      </c>
      <c r="I246" s="12">
        <v>14.11</v>
      </c>
    </row>
    <row r="247" spans="1:9" ht="30" x14ac:dyDescent="0.25">
      <c r="A247" s="9">
        <v>172</v>
      </c>
      <c r="B247" s="10">
        <v>44742</v>
      </c>
      <c r="C247" s="9">
        <v>9</v>
      </c>
      <c r="D247" s="9" t="str">
        <f>"2730"</f>
        <v>2730</v>
      </c>
      <c r="E247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247" s="9" t="str">
        <f>"1"</f>
        <v>1</v>
      </c>
      <c r="G247" s="9" t="str">
        <f>"4"</f>
        <v>4</v>
      </c>
      <c r="H247" s="9" t="str">
        <f t="shared" ref="H247:H267" si="36">"1"</f>
        <v>1</v>
      </c>
      <c r="I247" s="12">
        <v>87414711.939999998</v>
      </c>
    </row>
    <row r="248" spans="1:9" x14ac:dyDescent="0.25">
      <c r="A248" s="9">
        <v>389</v>
      </c>
      <c r="B248" s="10">
        <v>44742</v>
      </c>
      <c r="C248" s="9">
        <v>9</v>
      </c>
      <c r="D248" s="9" t="str">
        <f>"2731"</f>
        <v>2731</v>
      </c>
      <c r="E248" s="11" t="str">
        <f>"Начисленные расходы по прочим операциям"</f>
        <v>Начисленные расходы по прочим операциям</v>
      </c>
      <c r="F248" s="9" t="str">
        <f>"1"</f>
        <v>1</v>
      </c>
      <c r="G248" s="9" t="str">
        <f>"9"</f>
        <v>9</v>
      </c>
      <c r="H248" s="9" t="str">
        <f t="shared" si="36"/>
        <v>1</v>
      </c>
      <c r="I248" s="12">
        <v>26385578.239999998</v>
      </c>
    </row>
    <row r="249" spans="1:9" x14ac:dyDescent="0.25">
      <c r="A249" s="9">
        <v>415</v>
      </c>
      <c r="B249" s="10">
        <v>44742</v>
      </c>
      <c r="C249" s="9">
        <v>9</v>
      </c>
      <c r="D249" s="9" t="str">
        <f>"2731"</f>
        <v>2731</v>
      </c>
      <c r="E249" s="11" t="str">
        <f>"Начисленные расходы по прочим операциям"</f>
        <v>Начисленные расходы по прочим операциям</v>
      </c>
      <c r="F249" s="9" t="str">
        <f>"2"</f>
        <v>2</v>
      </c>
      <c r="G249" s="9" t="str">
        <f>"9"</f>
        <v>9</v>
      </c>
      <c r="H249" s="9" t="str">
        <f t="shared" si="36"/>
        <v>1</v>
      </c>
      <c r="I249" s="12">
        <v>1653788.55</v>
      </c>
    </row>
    <row r="250" spans="1:9" ht="30" x14ac:dyDescent="0.25">
      <c r="A250" s="9">
        <v>117</v>
      </c>
      <c r="B250" s="10">
        <v>44742</v>
      </c>
      <c r="C250" s="9">
        <v>9</v>
      </c>
      <c r="D250" s="9" t="str">
        <f t="shared" ref="D250:D256" si="37">"2770"</f>
        <v>2770</v>
      </c>
      <c r="E250" s="11" t="str">
        <f t="shared" ref="E250:E256" si="38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50" s="9" t="str">
        <f>"1"</f>
        <v>1</v>
      </c>
      <c r="G250" s="9" t="str">
        <f>"1"</f>
        <v>1</v>
      </c>
      <c r="H250" s="9" t="str">
        <f t="shared" si="36"/>
        <v>1</v>
      </c>
      <c r="I250" s="12">
        <v>17875524</v>
      </c>
    </row>
    <row r="251" spans="1:9" ht="30" x14ac:dyDescent="0.25">
      <c r="A251" s="9">
        <v>313</v>
      </c>
      <c r="B251" s="10">
        <v>44742</v>
      </c>
      <c r="C251" s="9">
        <v>9</v>
      </c>
      <c r="D251" s="9" t="str">
        <f t="shared" si="37"/>
        <v>2770</v>
      </c>
      <c r="E251" s="11" t="str">
        <f t="shared" si="38"/>
        <v>Начисленные расходы по административно-хозяйственной деятельности</v>
      </c>
      <c r="F251" s="9" t="str">
        <f>"1"</f>
        <v>1</v>
      </c>
      <c r="G251" s="9" t="str">
        <f>"5"</f>
        <v>5</v>
      </c>
      <c r="H251" s="9" t="str">
        <f t="shared" si="36"/>
        <v>1</v>
      </c>
      <c r="I251" s="12">
        <v>103828571</v>
      </c>
    </row>
    <row r="252" spans="1:9" ht="30" x14ac:dyDescent="0.25">
      <c r="A252" s="9">
        <v>308</v>
      </c>
      <c r="B252" s="10">
        <v>44742</v>
      </c>
      <c r="C252" s="9">
        <v>9</v>
      </c>
      <c r="D252" s="9" t="str">
        <f t="shared" si="37"/>
        <v>2770</v>
      </c>
      <c r="E252" s="11" t="str">
        <f t="shared" si="38"/>
        <v>Начисленные расходы по административно-хозяйственной деятельности</v>
      </c>
      <c r="F252" s="9" t="str">
        <f>"1"</f>
        <v>1</v>
      </c>
      <c r="G252" s="9" t="str">
        <f>"6"</f>
        <v>6</v>
      </c>
      <c r="H252" s="9" t="str">
        <f t="shared" si="36"/>
        <v>1</v>
      </c>
      <c r="I252" s="12">
        <v>17067343</v>
      </c>
    </row>
    <row r="253" spans="1:9" ht="30" x14ac:dyDescent="0.25">
      <c r="A253" s="9">
        <v>99</v>
      </c>
      <c r="B253" s="10">
        <v>44742</v>
      </c>
      <c r="C253" s="9">
        <v>9</v>
      </c>
      <c r="D253" s="9" t="str">
        <f t="shared" si="37"/>
        <v>2770</v>
      </c>
      <c r="E253" s="11" t="str">
        <f t="shared" si="38"/>
        <v>Начисленные расходы по административно-хозяйственной деятельности</v>
      </c>
      <c r="F253" s="9" t="str">
        <f>"1"</f>
        <v>1</v>
      </c>
      <c r="G253" s="9" t="str">
        <f>"7"</f>
        <v>7</v>
      </c>
      <c r="H253" s="9" t="str">
        <f t="shared" si="36"/>
        <v>1</v>
      </c>
      <c r="I253" s="12">
        <v>182750342</v>
      </c>
    </row>
    <row r="254" spans="1:9" ht="30" x14ac:dyDescent="0.25">
      <c r="A254" s="9">
        <v>21</v>
      </c>
      <c r="B254" s="10">
        <v>44742</v>
      </c>
      <c r="C254" s="9">
        <v>9</v>
      </c>
      <c r="D254" s="9" t="str">
        <f t="shared" si="37"/>
        <v>2770</v>
      </c>
      <c r="E254" s="11" t="str">
        <f t="shared" si="38"/>
        <v>Начисленные расходы по административно-хозяйственной деятельности</v>
      </c>
      <c r="F254" s="9" t="str">
        <f>"1"</f>
        <v>1</v>
      </c>
      <c r="G254" s="9" t="str">
        <f>"8"</f>
        <v>8</v>
      </c>
      <c r="H254" s="9" t="str">
        <f t="shared" si="36"/>
        <v>1</v>
      </c>
      <c r="I254" s="12">
        <v>4610176</v>
      </c>
    </row>
    <row r="255" spans="1:9" ht="30" x14ac:dyDescent="0.25">
      <c r="A255" s="9">
        <v>416</v>
      </c>
      <c r="B255" s="10">
        <v>44742</v>
      </c>
      <c r="C255" s="9">
        <v>9</v>
      </c>
      <c r="D255" s="9" t="str">
        <f t="shared" si="37"/>
        <v>2770</v>
      </c>
      <c r="E255" s="11" t="str">
        <f t="shared" si="38"/>
        <v>Начисленные расходы по административно-хозяйственной деятельности</v>
      </c>
      <c r="F255" s="9" t="str">
        <f>"1"</f>
        <v>1</v>
      </c>
      <c r="G255" s="9" t="str">
        <f>"9"</f>
        <v>9</v>
      </c>
      <c r="H255" s="9" t="str">
        <f t="shared" si="36"/>
        <v>1</v>
      </c>
      <c r="I255" s="12">
        <v>56572478</v>
      </c>
    </row>
    <row r="256" spans="1:9" ht="30" x14ac:dyDescent="0.25">
      <c r="A256" s="9">
        <v>390</v>
      </c>
      <c r="B256" s="10">
        <v>44742</v>
      </c>
      <c r="C256" s="9">
        <v>9</v>
      </c>
      <c r="D256" s="9" t="str">
        <f t="shared" si="37"/>
        <v>2770</v>
      </c>
      <c r="E256" s="11" t="str">
        <f t="shared" si="38"/>
        <v>Начисленные расходы по административно-хозяйственной деятельности</v>
      </c>
      <c r="F256" s="9" t="str">
        <f>"2"</f>
        <v>2</v>
      </c>
      <c r="G256" s="9" t="str">
        <f>"7"</f>
        <v>7</v>
      </c>
      <c r="H256" s="9" t="str">
        <f t="shared" si="36"/>
        <v>1</v>
      </c>
      <c r="I256" s="12">
        <v>155130211.08000001</v>
      </c>
    </row>
    <row r="257" spans="1:9" x14ac:dyDescent="0.25">
      <c r="A257" s="9">
        <v>59</v>
      </c>
      <c r="B257" s="10">
        <v>44742</v>
      </c>
      <c r="C257" s="9">
        <v>9</v>
      </c>
      <c r="D257" s="9" t="str">
        <f>"2794"</f>
        <v>2794</v>
      </c>
      <c r="E257" s="11" t="str">
        <f>"Доходы будущих периодов"</f>
        <v>Доходы будущих периодов</v>
      </c>
      <c r="F257" s="9" t="str">
        <f>"1"</f>
        <v>1</v>
      </c>
      <c r="G257" s="9" t="str">
        <f>"5"</f>
        <v>5</v>
      </c>
      <c r="H257" s="9" t="str">
        <f t="shared" si="36"/>
        <v>1</v>
      </c>
      <c r="I257" s="12">
        <v>45000</v>
      </c>
    </row>
    <row r="258" spans="1:9" x14ac:dyDescent="0.25">
      <c r="A258" s="9">
        <v>56</v>
      </c>
      <c r="B258" s="10">
        <v>44742</v>
      </c>
      <c r="C258" s="9">
        <v>9</v>
      </c>
      <c r="D258" s="9" t="str">
        <f>"2794"</f>
        <v>2794</v>
      </c>
      <c r="E258" s="11" t="str">
        <f>"Доходы будущих периодов"</f>
        <v>Доходы будущих периодов</v>
      </c>
      <c r="F258" s="9" t="str">
        <f>"1"</f>
        <v>1</v>
      </c>
      <c r="G258" s="9" t="str">
        <f>"7"</f>
        <v>7</v>
      </c>
      <c r="H258" s="9" t="str">
        <f t="shared" si="36"/>
        <v>1</v>
      </c>
      <c r="I258" s="12">
        <v>8404064.5399999991</v>
      </c>
    </row>
    <row r="259" spans="1:9" x14ac:dyDescent="0.25">
      <c r="A259" s="9">
        <v>192</v>
      </c>
      <c r="B259" s="10">
        <v>44742</v>
      </c>
      <c r="C259" s="9">
        <v>9</v>
      </c>
      <c r="D259" s="9" t="str">
        <f>"2794"</f>
        <v>2794</v>
      </c>
      <c r="E259" s="11" t="str">
        <f>"Доходы будущих периодов"</f>
        <v>Доходы будущих периодов</v>
      </c>
      <c r="F259" s="9" t="str">
        <f>"1"</f>
        <v>1</v>
      </c>
      <c r="G259" s="9" t="str">
        <f>"8"</f>
        <v>8</v>
      </c>
      <c r="H259" s="9" t="str">
        <f t="shared" si="36"/>
        <v>1</v>
      </c>
      <c r="I259" s="12">
        <v>30000</v>
      </c>
    </row>
    <row r="260" spans="1:9" x14ac:dyDescent="0.25">
      <c r="A260" s="9">
        <v>58</v>
      </c>
      <c r="B260" s="10">
        <v>44742</v>
      </c>
      <c r="C260" s="9">
        <v>9</v>
      </c>
      <c r="D260" s="9" t="str">
        <f>"2794"</f>
        <v>2794</v>
      </c>
      <c r="E260" s="11" t="str">
        <f>"Доходы будущих периодов"</f>
        <v>Доходы будущих периодов</v>
      </c>
      <c r="F260" s="9" t="str">
        <f>"1"</f>
        <v>1</v>
      </c>
      <c r="G260" s="9" t="str">
        <f>"9"</f>
        <v>9</v>
      </c>
      <c r="H260" s="9" t="str">
        <f t="shared" si="36"/>
        <v>1</v>
      </c>
      <c r="I260" s="12">
        <v>12883507.310000001</v>
      </c>
    </row>
    <row r="261" spans="1:9" x14ac:dyDescent="0.25">
      <c r="A261" s="9">
        <v>57</v>
      </c>
      <c r="B261" s="10">
        <v>44742</v>
      </c>
      <c r="C261" s="9">
        <v>9</v>
      </c>
      <c r="D261" s="9" t="str">
        <f>"2794"</f>
        <v>2794</v>
      </c>
      <c r="E261" s="11" t="str">
        <f>"Доходы будущих периодов"</f>
        <v>Доходы будущих периодов</v>
      </c>
      <c r="F261" s="9" t="str">
        <f>"2"</f>
        <v>2</v>
      </c>
      <c r="G261" s="9" t="str">
        <f>"9"</f>
        <v>9</v>
      </c>
      <c r="H261" s="9" t="str">
        <f t="shared" si="36"/>
        <v>1</v>
      </c>
      <c r="I261" s="12">
        <v>591254.04</v>
      </c>
    </row>
    <row r="262" spans="1:9" x14ac:dyDescent="0.25">
      <c r="A262" s="9">
        <v>450</v>
      </c>
      <c r="B262" s="10">
        <v>44742</v>
      </c>
      <c r="C262" s="9">
        <v>9</v>
      </c>
      <c r="D262" s="9" t="str">
        <f>"2799"</f>
        <v>2799</v>
      </c>
      <c r="E262" s="11" t="str">
        <f>"Прочие предоплаты"</f>
        <v>Прочие предоплаты</v>
      </c>
      <c r="F262" s="9" t="str">
        <f>"1"</f>
        <v>1</v>
      </c>
      <c r="G262" s="9" t="str">
        <f>"7"</f>
        <v>7</v>
      </c>
      <c r="H262" s="9" t="str">
        <f t="shared" si="36"/>
        <v>1</v>
      </c>
      <c r="I262" s="12">
        <v>22300</v>
      </c>
    </row>
    <row r="263" spans="1:9" x14ac:dyDescent="0.25">
      <c r="A263" s="9">
        <v>118</v>
      </c>
      <c r="B263" s="10">
        <v>44742</v>
      </c>
      <c r="C263" s="9">
        <v>9</v>
      </c>
      <c r="D263" s="9" t="str">
        <f>"2799"</f>
        <v>2799</v>
      </c>
      <c r="E263" s="11" t="str">
        <f>"Прочие предоплаты"</f>
        <v>Прочие предоплаты</v>
      </c>
      <c r="F263" s="9" t="str">
        <f>"1"</f>
        <v>1</v>
      </c>
      <c r="G263" s="9" t="str">
        <f>"9"</f>
        <v>9</v>
      </c>
      <c r="H263" s="9" t="str">
        <f t="shared" si="36"/>
        <v>1</v>
      </c>
      <c r="I263" s="12">
        <v>38500</v>
      </c>
    </row>
    <row r="264" spans="1:9" x14ac:dyDescent="0.25">
      <c r="A264" s="9">
        <v>212</v>
      </c>
      <c r="B264" s="10">
        <v>44742</v>
      </c>
      <c r="C264" s="9">
        <v>9</v>
      </c>
      <c r="D264" s="9" t="str">
        <f>"2799"</f>
        <v>2799</v>
      </c>
      <c r="E264" s="11" t="str">
        <f>"Прочие предоплаты"</f>
        <v>Прочие предоплаты</v>
      </c>
      <c r="F264" s="9" t="str">
        <f>"2"</f>
        <v>2</v>
      </c>
      <c r="G264" s="9" t="str">
        <f>"4"</f>
        <v>4</v>
      </c>
      <c r="H264" s="9" t="str">
        <f t="shared" si="36"/>
        <v>1</v>
      </c>
      <c r="I264" s="12">
        <v>650000</v>
      </c>
    </row>
    <row r="265" spans="1:9" ht="30" x14ac:dyDescent="0.25">
      <c r="A265" s="9">
        <v>438</v>
      </c>
      <c r="B265" s="10">
        <v>44742</v>
      </c>
      <c r="C265" s="9">
        <v>9</v>
      </c>
      <c r="D265" s="9" t="str">
        <f>"2811"</f>
        <v>2811</v>
      </c>
      <c r="E265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265" s="9" t="str">
        <f>"1"</f>
        <v>1</v>
      </c>
      <c r="G265" s="9" t="str">
        <f>""</f>
        <v/>
      </c>
      <c r="H265" s="9" t="str">
        <f t="shared" si="36"/>
        <v>1</v>
      </c>
      <c r="I265" s="12">
        <v>21729000</v>
      </c>
    </row>
    <row r="266" spans="1:9" x14ac:dyDescent="0.25">
      <c r="A266" s="9">
        <v>61</v>
      </c>
      <c r="B266" s="10">
        <v>44742</v>
      </c>
      <c r="C266" s="9">
        <v>9</v>
      </c>
      <c r="D266" s="9" t="str">
        <f>"2818"</f>
        <v>2818</v>
      </c>
      <c r="E266" s="11" t="str">
        <f>"Начисленные прочие комиссионные расходы"</f>
        <v>Начисленные прочие комиссионные расходы</v>
      </c>
      <c r="F266" s="9" t="str">
        <f>"1"</f>
        <v>1</v>
      </c>
      <c r="G266" s="9" t="str">
        <f>""</f>
        <v/>
      </c>
      <c r="H266" s="9" t="str">
        <f t="shared" si="36"/>
        <v>1</v>
      </c>
      <c r="I266" s="12">
        <v>387572</v>
      </c>
    </row>
    <row r="267" spans="1:9" x14ac:dyDescent="0.25">
      <c r="A267" s="9">
        <v>213</v>
      </c>
      <c r="B267" s="10">
        <v>44742</v>
      </c>
      <c r="C267" s="9">
        <v>9</v>
      </c>
      <c r="D267" s="9" t="str">
        <f>"2818"</f>
        <v>2818</v>
      </c>
      <c r="E267" s="11" t="str">
        <f>"Начисленные прочие комиссионные расходы"</f>
        <v>Начисленные прочие комиссионные расходы</v>
      </c>
      <c r="F267" s="9" t="str">
        <f>"2"</f>
        <v>2</v>
      </c>
      <c r="G267" s="9" t="str">
        <f>""</f>
        <v/>
      </c>
      <c r="H267" s="9" t="str">
        <f t="shared" si="36"/>
        <v>1</v>
      </c>
      <c r="I267" s="12">
        <v>72828228</v>
      </c>
    </row>
    <row r="268" spans="1:9" x14ac:dyDescent="0.25">
      <c r="A268" s="9">
        <v>138</v>
      </c>
      <c r="B268" s="10">
        <v>44742</v>
      </c>
      <c r="C268" s="9">
        <v>9</v>
      </c>
      <c r="D268" s="9" t="str">
        <f>"2818"</f>
        <v>2818</v>
      </c>
      <c r="E268" s="11" t="str">
        <f>"Начисленные прочие комиссионные расходы"</f>
        <v>Начисленные прочие комиссионные расходы</v>
      </c>
      <c r="F268" s="9" t="str">
        <f>"2"</f>
        <v>2</v>
      </c>
      <c r="G268" s="9" t="str">
        <f>""</f>
        <v/>
      </c>
      <c r="H268" s="9" t="str">
        <f>"3"</f>
        <v>3</v>
      </c>
      <c r="I268" s="12">
        <v>8980</v>
      </c>
    </row>
    <row r="269" spans="1:9" ht="30" x14ac:dyDescent="0.25">
      <c r="A269" s="9">
        <v>282</v>
      </c>
      <c r="B269" s="10">
        <v>44742</v>
      </c>
      <c r="C269" s="9">
        <v>9</v>
      </c>
      <c r="D269" s="9" t="str">
        <f>"2819"</f>
        <v>2819</v>
      </c>
      <c r="E269" s="1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269" s="9" t="str">
        <f>"1"</f>
        <v>1</v>
      </c>
      <c r="G269" s="9" t="str">
        <f>""</f>
        <v/>
      </c>
      <c r="H269" s="9" t="str">
        <f>"1"</f>
        <v>1</v>
      </c>
      <c r="I269" s="12">
        <v>6300000</v>
      </c>
    </row>
    <row r="270" spans="1:9" ht="30" x14ac:dyDescent="0.25">
      <c r="A270" s="9">
        <v>391</v>
      </c>
      <c r="B270" s="10">
        <v>44742</v>
      </c>
      <c r="C270" s="9">
        <v>9</v>
      </c>
      <c r="D270" s="9" t="str">
        <f>"2820"</f>
        <v>2820</v>
      </c>
      <c r="E270" s="1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270" s="9" t="str">
        <f>"1"</f>
        <v>1</v>
      </c>
      <c r="G270" s="9" t="str">
        <f>""</f>
        <v/>
      </c>
      <c r="H270" s="9" t="str">
        <f>"1"</f>
        <v>1</v>
      </c>
      <c r="I270" s="12">
        <v>15000000</v>
      </c>
    </row>
    <row r="271" spans="1:9" x14ac:dyDescent="0.25">
      <c r="A271" s="9">
        <v>439</v>
      </c>
      <c r="B271" s="10">
        <v>44742</v>
      </c>
      <c r="C271" s="9">
        <v>9</v>
      </c>
      <c r="D271" s="9" t="str">
        <f>"2851"</f>
        <v>2851</v>
      </c>
      <c r="E271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71" s="9" t="str">
        <f>"1"</f>
        <v>1</v>
      </c>
      <c r="G271" s="9" t="str">
        <f>"1"</f>
        <v>1</v>
      </c>
      <c r="H271" s="9" t="str">
        <f>"1"</f>
        <v>1</v>
      </c>
      <c r="I271" s="12">
        <v>1322013527.0899999</v>
      </c>
    </row>
    <row r="272" spans="1:9" x14ac:dyDescent="0.25">
      <c r="A272" s="9">
        <v>345</v>
      </c>
      <c r="B272" s="10">
        <v>44742</v>
      </c>
      <c r="C272" s="9">
        <v>9</v>
      </c>
      <c r="D272" s="9" t="str">
        <f>"2853"</f>
        <v>2853</v>
      </c>
      <c r="E272" s="11" t="str">
        <f>"Расчеты с акционерами (по дивидендам)"</f>
        <v>Расчеты с акционерами (по дивидендам)</v>
      </c>
      <c r="F272" s="9" t="str">
        <f>"1"</f>
        <v>1</v>
      </c>
      <c r="G272" s="9" t="str">
        <f>"4"</f>
        <v>4</v>
      </c>
      <c r="H272" s="9" t="str">
        <f>"1"</f>
        <v>1</v>
      </c>
      <c r="I272" s="12">
        <v>50000000000</v>
      </c>
    </row>
    <row r="273" spans="1:9" x14ac:dyDescent="0.25">
      <c r="A273" s="9">
        <v>214</v>
      </c>
      <c r="B273" s="10">
        <v>44742</v>
      </c>
      <c r="C273" s="9">
        <v>9</v>
      </c>
      <c r="D273" s="9" t="str">
        <f>"2854"</f>
        <v>2854</v>
      </c>
      <c r="E273" s="11" t="str">
        <f>"Расчеты с работниками"</f>
        <v>Расчеты с работниками</v>
      </c>
      <c r="F273" s="9" t="str">
        <f>""</f>
        <v/>
      </c>
      <c r="G273" s="9" t="str">
        <f>""</f>
        <v/>
      </c>
      <c r="H273" s="9" t="str">
        <f>""</f>
        <v/>
      </c>
      <c r="I273" s="12">
        <v>1626265802.3900001</v>
      </c>
    </row>
    <row r="274" spans="1:9" x14ac:dyDescent="0.25">
      <c r="A274" s="9">
        <v>283</v>
      </c>
      <c r="B274" s="10">
        <v>44742</v>
      </c>
      <c r="C274" s="9">
        <v>9</v>
      </c>
      <c r="D274" s="9" t="str">
        <f>"2856"</f>
        <v>2856</v>
      </c>
      <c r="E274" s="11" t="str">
        <f>"Кредиторы по капитальным вложениям"</f>
        <v>Кредиторы по капитальным вложениям</v>
      </c>
      <c r="F274" s="9" t="str">
        <f t="shared" ref="F274:F282" si="39">"1"</f>
        <v>1</v>
      </c>
      <c r="G274" s="9" t="str">
        <f>"7"</f>
        <v>7</v>
      </c>
      <c r="H274" s="9" t="str">
        <f>"1"</f>
        <v>1</v>
      </c>
      <c r="I274" s="12">
        <v>30626394.57</v>
      </c>
    </row>
    <row r="275" spans="1:9" x14ac:dyDescent="0.25">
      <c r="A275" s="9">
        <v>62</v>
      </c>
      <c r="B275" s="10">
        <v>44742</v>
      </c>
      <c r="C275" s="9">
        <v>9</v>
      </c>
      <c r="D275" s="9" t="str">
        <f t="shared" ref="D275:D285" si="40">"2860"</f>
        <v>2860</v>
      </c>
      <c r="E275" s="11" t="str">
        <f t="shared" ref="E275:E285" si="41">"Прочие кредиторы по банковской деятельности"</f>
        <v>Прочие кредиторы по банковской деятельности</v>
      </c>
      <c r="F275" s="9" t="str">
        <f t="shared" si="39"/>
        <v>1</v>
      </c>
      <c r="G275" s="9" t="str">
        <f>"4"</f>
        <v>4</v>
      </c>
      <c r="H275" s="9" t="str">
        <f>"1"</f>
        <v>1</v>
      </c>
      <c r="I275" s="12">
        <v>11664883524.4</v>
      </c>
    </row>
    <row r="276" spans="1:9" x14ac:dyDescent="0.25">
      <c r="A276" s="9">
        <v>22</v>
      </c>
      <c r="B276" s="10">
        <v>44742</v>
      </c>
      <c r="C276" s="9">
        <v>9</v>
      </c>
      <c r="D276" s="9" t="str">
        <f t="shared" si="40"/>
        <v>2860</v>
      </c>
      <c r="E276" s="11" t="str">
        <f t="shared" si="41"/>
        <v>Прочие кредиторы по банковской деятельности</v>
      </c>
      <c r="F276" s="9" t="str">
        <f t="shared" si="39"/>
        <v>1</v>
      </c>
      <c r="G276" s="9" t="str">
        <f>"4"</f>
        <v>4</v>
      </c>
      <c r="H276" s="9" t="str">
        <f>"2"</f>
        <v>2</v>
      </c>
      <c r="I276" s="12">
        <v>14761733.789999999</v>
      </c>
    </row>
    <row r="277" spans="1:9" x14ac:dyDescent="0.25">
      <c r="A277" s="9">
        <v>366</v>
      </c>
      <c r="B277" s="10">
        <v>44742</v>
      </c>
      <c r="C277" s="9">
        <v>9</v>
      </c>
      <c r="D277" s="9" t="str">
        <f t="shared" si="40"/>
        <v>2860</v>
      </c>
      <c r="E277" s="11" t="str">
        <f t="shared" si="41"/>
        <v>Прочие кредиторы по банковской деятельности</v>
      </c>
      <c r="F277" s="9" t="str">
        <f t="shared" si="39"/>
        <v>1</v>
      </c>
      <c r="G277" s="9" t="str">
        <f>"4"</f>
        <v>4</v>
      </c>
      <c r="H277" s="9" t="str">
        <f>"3"</f>
        <v>3</v>
      </c>
      <c r="I277" s="12">
        <v>3367500</v>
      </c>
    </row>
    <row r="278" spans="1:9" x14ac:dyDescent="0.25">
      <c r="A278" s="9">
        <v>157</v>
      </c>
      <c r="B278" s="10">
        <v>44742</v>
      </c>
      <c r="C278" s="9">
        <v>9</v>
      </c>
      <c r="D278" s="9" t="str">
        <f t="shared" si="40"/>
        <v>2860</v>
      </c>
      <c r="E278" s="11" t="str">
        <f t="shared" si="41"/>
        <v>Прочие кредиторы по банковской деятельности</v>
      </c>
      <c r="F278" s="9" t="str">
        <f t="shared" si="39"/>
        <v>1</v>
      </c>
      <c r="G278" s="9" t="str">
        <f>"5"</f>
        <v>5</v>
      </c>
      <c r="H278" s="9" t="str">
        <f>"1"</f>
        <v>1</v>
      </c>
      <c r="I278" s="12">
        <v>2905751.35</v>
      </c>
    </row>
    <row r="279" spans="1:9" x14ac:dyDescent="0.25">
      <c r="A279" s="9">
        <v>233</v>
      </c>
      <c r="B279" s="10">
        <v>44742</v>
      </c>
      <c r="C279" s="9">
        <v>9</v>
      </c>
      <c r="D279" s="9" t="str">
        <f t="shared" si="40"/>
        <v>2860</v>
      </c>
      <c r="E279" s="11" t="str">
        <f t="shared" si="41"/>
        <v>Прочие кредиторы по банковской деятельности</v>
      </c>
      <c r="F279" s="9" t="str">
        <f t="shared" si="39"/>
        <v>1</v>
      </c>
      <c r="G279" s="9" t="str">
        <f>"7"</f>
        <v>7</v>
      </c>
      <c r="H279" s="9" t="str">
        <f>"1"</f>
        <v>1</v>
      </c>
      <c r="I279" s="12">
        <v>197008463.19</v>
      </c>
    </row>
    <row r="280" spans="1:9" x14ac:dyDescent="0.25">
      <c r="A280" s="9">
        <v>158</v>
      </c>
      <c r="B280" s="10">
        <v>44742</v>
      </c>
      <c r="C280" s="9">
        <v>9</v>
      </c>
      <c r="D280" s="9" t="str">
        <f t="shared" si="40"/>
        <v>2860</v>
      </c>
      <c r="E280" s="11" t="str">
        <f t="shared" si="41"/>
        <v>Прочие кредиторы по банковской деятельности</v>
      </c>
      <c r="F280" s="9" t="str">
        <f t="shared" si="39"/>
        <v>1</v>
      </c>
      <c r="G280" s="9" t="str">
        <f>"7"</f>
        <v>7</v>
      </c>
      <c r="H280" s="9" t="str">
        <f>"2"</f>
        <v>2</v>
      </c>
      <c r="I280" s="12">
        <v>4945041.88</v>
      </c>
    </row>
    <row r="281" spans="1:9" x14ac:dyDescent="0.25">
      <c r="A281" s="9">
        <v>100</v>
      </c>
      <c r="B281" s="10">
        <v>44742</v>
      </c>
      <c r="C281" s="9">
        <v>9</v>
      </c>
      <c r="D281" s="9" t="str">
        <f t="shared" si="40"/>
        <v>2860</v>
      </c>
      <c r="E281" s="11" t="str">
        <f t="shared" si="41"/>
        <v>Прочие кредиторы по банковской деятельности</v>
      </c>
      <c r="F281" s="9" t="str">
        <f t="shared" si="39"/>
        <v>1</v>
      </c>
      <c r="G281" s="9" t="str">
        <f>"9"</f>
        <v>9</v>
      </c>
      <c r="H281" s="9" t="str">
        <f>"1"</f>
        <v>1</v>
      </c>
      <c r="I281" s="12">
        <v>3263472.86</v>
      </c>
    </row>
    <row r="282" spans="1:9" x14ac:dyDescent="0.25">
      <c r="A282" s="9">
        <v>119</v>
      </c>
      <c r="B282" s="10">
        <v>44742</v>
      </c>
      <c r="C282" s="9">
        <v>9</v>
      </c>
      <c r="D282" s="9" t="str">
        <f t="shared" si="40"/>
        <v>2860</v>
      </c>
      <c r="E282" s="11" t="str">
        <f t="shared" si="41"/>
        <v>Прочие кредиторы по банковской деятельности</v>
      </c>
      <c r="F282" s="9" t="str">
        <f t="shared" si="39"/>
        <v>1</v>
      </c>
      <c r="G282" s="9" t="str">
        <f>"9"</f>
        <v>9</v>
      </c>
      <c r="H282" s="9" t="str">
        <f>"2"</f>
        <v>2</v>
      </c>
      <c r="I282" s="12">
        <v>280769026.45999998</v>
      </c>
    </row>
    <row r="283" spans="1:9" x14ac:dyDescent="0.25">
      <c r="A283" s="9">
        <v>60</v>
      </c>
      <c r="B283" s="10">
        <v>44742</v>
      </c>
      <c r="C283" s="9">
        <v>9</v>
      </c>
      <c r="D283" s="9" t="str">
        <f t="shared" si="40"/>
        <v>2860</v>
      </c>
      <c r="E283" s="11" t="str">
        <f t="shared" si="41"/>
        <v>Прочие кредиторы по банковской деятельности</v>
      </c>
      <c r="F283" s="9" t="str">
        <f>"2"</f>
        <v>2</v>
      </c>
      <c r="G283" s="9" t="str">
        <f>"7"</f>
        <v>7</v>
      </c>
      <c r="H283" s="9" t="str">
        <f>"2"</f>
        <v>2</v>
      </c>
      <c r="I283" s="12">
        <v>133458.98000000001</v>
      </c>
    </row>
    <row r="284" spans="1:9" x14ac:dyDescent="0.25">
      <c r="A284" s="9">
        <v>284</v>
      </c>
      <c r="B284" s="10">
        <v>44742</v>
      </c>
      <c r="C284" s="9">
        <v>9</v>
      </c>
      <c r="D284" s="9" t="str">
        <f t="shared" si="40"/>
        <v>2860</v>
      </c>
      <c r="E284" s="11" t="str">
        <f t="shared" si="41"/>
        <v>Прочие кредиторы по банковской деятельности</v>
      </c>
      <c r="F284" s="9" t="str">
        <f>"2"</f>
        <v>2</v>
      </c>
      <c r="G284" s="9" t="str">
        <f>"7"</f>
        <v>7</v>
      </c>
      <c r="H284" s="9" t="str">
        <f>"3"</f>
        <v>3</v>
      </c>
      <c r="I284" s="12">
        <v>15884.99</v>
      </c>
    </row>
    <row r="285" spans="1:9" x14ac:dyDescent="0.25">
      <c r="A285" s="9">
        <v>139</v>
      </c>
      <c r="B285" s="10">
        <v>44742</v>
      </c>
      <c r="C285" s="9">
        <v>9</v>
      </c>
      <c r="D285" s="9" t="str">
        <f t="shared" si="40"/>
        <v>2860</v>
      </c>
      <c r="E285" s="11" t="str">
        <f t="shared" si="41"/>
        <v>Прочие кредиторы по банковской деятельности</v>
      </c>
      <c r="F285" s="9" t="str">
        <f>"2"</f>
        <v>2</v>
      </c>
      <c r="G285" s="9" t="str">
        <f>"9"</f>
        <v>9</v>
      </c>
      <c r="H285" s="9" t="str">
        <f>"2"</f>
        <v>2</v>
      </c>
      <c r="I285" s="12">
        <v>131.69999999999999</v>
      </c>
    </row>
    <row r="286" spans="1:9" x14ac:dyDescent="0.25">
      <c r="A286" s="9">
        <v>440</v>
      </c>
      <c r="B286" s="10">
        <v>44742</v>
      </c>
      <c r="C286" s="9">
        <v>9</v>
      </c>
      <c r="D286" s="9" t="str">
        <f>"2861"</f>
        <v>2861</v>
      </c>
      <c r="E286" s="11" t="str">
        <f>"Резерв на отпускные выплаты"</f>
        <v>Резерв на отпускные выплаты</v>
      </c>
      <c r="F286" s="9" t="str">
        <f>""</f>
        <v/>
      </c>
      <c r="G286" s="9" t="str">
        <f>""</f>
        <v/>
      </c>
      <c r="H286" s="9" t="str">
        <f>""</f>
        <v/>
      </c>
      <c r="I286" s="12">
        <v>1379066985.3</v>
      </c>
    </row>
    <row r="287" spans="1:9" x14ac:dyDescent="0.25">
      <c r="A287" s="9">
        <v>392</v>
      </c>
      <c r="B287" s="10">
        <v>44742</v>
      </c>
      <c r="C287" s="9">
        <v>9</v>
      </c>
      <c r="D287" s="9" t="str">
        <f>"2865"</f>
        <v>2865</v>
      </c>
      <c r="E287" s="11" t="str">
        <f>"Обязательства по выпущенным электронным деньгам"</f>
        <v>Обязательства по выпущенным электронным деньгам</v>
      </c>
      <c r="F287" s="9" t="str">
        <f>"1"</f>
        <v>1</v>
      </c>
      <c r="G287" s="9" t="str">
        <f>"7"</f>
        <v>7</v>
      </c>
      <c r="H287" s="9" t="str">
        <f t="shared" ref="H287:H292" si="42">"1"</f>
        <v>1</v>
      </c>
      <c r="I287" s="12">
        <v>336161328.41000003</v>
      </c>
    </row>
    <row r="288" spans="1:9" x14ac:dyDescent="0.25">
      <c r="A288" s="9">
        <v>428</v>
      </c>
      <c r="B288" s="10">
        <v>44742</v>
      </c>
      <c r="C288" s="9">
        <v>9</v>
      </c>
      <c r="D288" s="9" t="str">
        <f>"2867"</f>
        <v>2867</v>
      </c>
      <c r="E288" s="11" t="str">
        <f>"Прочие кредиторы по неосновной деятельности"</f>
        <v>Прочие кредиторы по неосновной деятельности</v>
      </c>
      <c r="F288" s="9" t="str">
        <f>"1"</f>
        <v>1</v>
      </c>
      <c r="G288" s="9" t="str">
        <f>"7"</f>
        <v>7</v>
      </c>
      <c r="H288" s="9" t="str">
        <f t="shared" si="42"/>
        <v>1</v>
      </c>
      <c r="I288" s="12">
        <v>431868.52</v>
      </c>
    </row>
    <row r="289" spans="1:9" x14ac:dyDescent="0.25">
      <c r="A289" s="9">
        <v>417</v>
      </c>
      <c r="B289" s="10">
        <v>44742</v>
      </c>
      <c r="C289" s="9">
        <v>9</v>
      </c>
      <c r="D289" s="9" t="str">
        <f>"2867"</f>
        <v>2867</v>
      </c>
      <c r="E289" s="11" t="str">
        <f>"Прочие кредиторы по неосновной деятельности"</f>
        <v>Прочие кредиторы по неосновной деятельности</v>
      </c>
      <c r="F289" s="9" t="str">
        <f>"1"</f>
        <v>1</v>
      </c>
      <c r="G289" s="9" t="str">
        <f>"9"</f>
        <v>9</v>
      </c>
      <c r="H289" s="9" t="str">
        <f t="shared" si="42"/>
        <v>1</v>
      </c>
      <c r="I289" s="12">
        <v>3059482.99</v>
      </c>
    </row>
    <row r="290" spans="1:9" x14ac:dyDescent="0.25">
      <c r="A290" s="9">
        <v>265</v>
      </c>
      <c r="B290" s="10">
        <v>44742</v>
      </c>
      <c r="C290" s="9">
        <v>9</v>
      </c>
      <c r="D290" s="9" t="str">
        <f>"2867"</f>
        <v>2867</v>
      </c>
      <c r="E290" s="11" t="str">
        <f>"Прочие кредиторы по неосновной деятельности"</f>
        <v>Прочие кредиторы по неосновной деятельности</v>
      </c>
      <c r="F290" s="9" t="str">
        <f>"2"</f>
        <v>2</v>
      </c>
      <c r="G290" s="9" t="str">
        <f>"7"</f>
        <v>7</v>
      </c>
      <c r="H290" s="9" t="str">
        <f t="shared" si="42"/>
        <v>1</v>
      </c>
      <c r="I290" s="12">
        <v>584430.97</v>
      </c>
    </row>
    <row r="291" spans="1:9" x14ac:dyDescent="0.25">
      <c r="A291" s="9">
        <v>140</v>
      </c>
      <c r="B291" s="10">
        <v>44742</v>
      </c>
      <c r="C291" s="9">
        <v>9</v>
      </c>
      <c r="D291" s="9" t="str">
        <f t="shared" ref="D291:D296" si="43">"2869"</f>
        <v>2869</v>
      </c>
      <c r="E291" s="11" t="str">
        <f t="shared" ref="E291:E296" si="44">"Выданные гарантии"</f>
        <v>Выданные гарантии</v>
      </c>
      <c r="F291" s="9" t="str">
        <f>"1"</f>
        <v>1</v>
      </c>
      <c r="G291" s="9" t="str">
        <f>"5"</f>
        <v>5</v>
      </c>
      <c r="H291" s="9" t="str">
        <f t="shared" si="42"/>
        <v>1</v>
      </c>
      <c r="I291" s="12">
        <v>59480.42</v>
      </c>
    </row>
    <row r="292" spans="1:9" x14ac:dyDescent="0.25">
      <c r="A292" s="9">
        <v>329</v>
      </c>
      <c r="B292" s="10">
        <v>44742</v>
      </c>
      <c r="C292" s="9">
        <v>9</v>
      </c>
      <c r="D292" s="9" t="str">
        <f t="shared" si="43"/>
        <v>2869</v>
      </c>
      <c r="E292" s="11" t="str">
        <f t="shared" si="44"/>
        <v>Выданные гарантии</v>
      </c>
      <c r="F292" s="9" t="str">
        <f>"1"</f>
        <v>1</v>
      </c>
      <c r="G292" s="9" t="str">
        <f>"7"</f>
        <v>7</v>
      </c>
      <c r="H292" s="9" t="str">
        <f t="shared" si="42"/>
        <v>1</v>
      </c>
      <c r="I292" s="12">
        <v>19808172.66</v>
      </c>
    </row>
    <row r="293" spans="1:9" x14ac:dyDescent="0.25">
      <c r="A293" s="9">
        <v>101</v>
      </c>
      <c r="B293" s="10">
        <v>44742</v>
      </c>
      <c r="C293" s="9">
        <v>9</v>
      </c>
      <c r="D293" s="9" t="str">
        <f t="shared" si="43"/>
        <v>2869</v>
      </c>
      <c r="E293" s="11" t="str">
        <f t="shared" si="44"/>
        <v>Выданные гарантии</v>
      </c>
      <c r="F293" s="9" t="str">
        <f>"1"</f>
        <v>1</v>
      </c>
      <c r="G293" s="9" t="str">
        <f>"7"</f>
        <v>7</v>
      </c>
      <c r="H293" s="9" t="str">
        <f>"2"</f>
        <v>2</v>
      </c>
      <c r="I293" s="12">
        <v>3056153.41</v>
      </c>
    </row>
    <row r="294" spans="1:9" x14ac:dyDescent="0.25">
      <c r="A294" s="9">
        <v>23</v>
      </c>
      <c r="B294" s="10">
        <v>44742</v>
      </c>
      <c r="C294" s="9">
        <v>9</v>
      </c>
      <c r="D294" s="9" t="str">
        <f t="shared" si="43"/>
        <v>2869</v>
      </c>
      <c r="E294" s="11" t="str">
        <f t="shared" si="44"/>
        <v>Выданные гарантии</v>
      </c>
      <c r="F294" s="9" t="str">
        <f>"1"</f>
        <v>1</v>
      </c>
      <c r="G294" s="9" t="str">
        <f>"7"</f>
        <v>7</v>
      </c>
      <c r="H294" s="9" t="str">
        <f>"3"</f>
        <v>3</v>
      </c>
      <c r="I294" s="12">
        <v>29792.05</v>
      </c>
    </row>
    <row r="295" spans="1:9" x14ac:dyDescent="0.25">
      <c r="A295" s="9">
        <v>318</v>
      </c>
      <c r="B295" s="10">
        <v>44742</v>
      </c>
      <c r="C295" s="9">
        <v>9</v>
      </c>
      <c r="D295" s="9" t="str">
        <f t="shared" si="43"/>
        <v>2869</v>
      </c>
      <c r="E295" s="11" t="str">
        <f t="shared" si="44"/>
        <v>Выданные гарантии</v>
      </c>
      <c r="F295" s="9" t="str">
        <f>"1"</f>
        <v>1</v>
      </c>
      <c r="G295" s="9" t="str">
        <f>"9"</f>
        <v>9</v>
      </c>
      <c r="H295" s="9" t="str">
        <f>"1"</f>
        <v>1</v>
      </c>
      <c r="I295" s="12">
        <v>272883.32</v>
      </c>
    </row>
    <row r="296" spans="1:9" x14ac:dyDescent="0.25">
      <c r="A296" s="9">
        <v>355</v>
      </c>
      <c r="B296" s="10">
        <v>44742</v>
      </c>
      <c r="C296" s="9">
        <v>9</v>
      </c>
      <c r="D296" s="9" t="str">
        <f t="shared" si="43"/>
        <v>2869</v>
      </c>
      <c r="E296" s="11" t="str">
        <f t="shared" si="44"/>
        <v>Выданные гарантии</v>
      </c>
      <c r="F296" s="9" t="str">
        <f>"2"</f>
        <v>2</v>
      </c>
      <c r="G296" s="9" t="str">
        <f>"4"</f>
        <v>4</v>
      </c>
      <c r="H296" s="9" t="str">
        <f>"1"</f>
        <v>1</v>
      </c>
      <c r="I296" s="12">
        <v>2073240</v>
      </c>
    </row>
    <row r="297" spans="1:9" x14ac:dyDescent="0.25">
      <c r="A297" s="9">
        <v>285</v>
      </c>
      <c r="B297" s="10">
        <v>44742</v>
      </c>
      <c r="C297" s="9">
        <v>9</v>
      </c>
      <c r="D297" s="9" t="str">
        <f t="shared" ref="D297:D307" si="45">"2870"</f>
        <v>2870</v>
      </c>
      <c r="E297" s="11" t="str">
        <f t="shared" ref="E297:E307" si="46">"Прочие транзитные счета"</f>
        <v>Прочие транзитные счета</v>
      </c>
      <c r="F297" s="9" t="str">
        <f t="shared" ref="F297:F304" si="47">"1"</f>
        <v>1</v>
      </c>
      <c r="G297" s="9" t="str">
        <f>"4"</f>
        <v>4</v>
      </c>
      <c r="H297" s="9" t="str">
        <f>"1"</f>
        <v>1</v>
      </c>
      <c r="I297" s="12">
        <v>21789430.120000001</v>
      </c>
    </row>
    <row r="298" spans="1:9" x14ac:dyDescent="0.25">
      <c r="A298" s="9">
        <v>173</v>
      </c>
      <c r="B298" s="10">
        <v>44742</v>
      </c>
      <c r="C298" s="9">
        <v>9</v>
      </c>
      <c r="D298" s="9" t="str">
        <f t="shared" si="45"/>
        <v>2870</v>
      </c>
      <c r="E298" s="11" t="str">
        <f t="shared" si="46"/>
        <v>Прочие транзитные счета</v>
      </c>
      <c r="F298" s="9" t="str">
        <f t="shared" si="47"/>
        <v>1</v>
      </c>
      <c r="G298" s="9" t="str">
        <f>"4"</f>
        <v>4</v>
      </c>
      <c r="H298" s="9" t="str">
        <f>"2"</f>
        <v>2</v>
      </c>
      <c r="I298" s="12">
        <v>52111762.880000003</v>
      </c>
    </row>
    <row r="299" spans="1:9" x14ac:dyDescent="0.25">
      <c r="A299" s="9">
        <v>292</v>
      </c>
      <c r="B299" s="10">
        <v>44742</v>
      </c>
      <c r="C299" s="9">
        <v>9</v>
      </c>
      <c r="D299" s="9" t="str">
        <f t="shared" si="45"/>
        <v>2870</v>
      </c>
      <c r="E299" s="11" t="str">
        <f t="shared" si="46"/>
        <v>Прочие транзитные счета</v>
      </c>
      <c r="F299" s="9" t="str">
        <f t="shared" si="47"/>
        <v>1</v>
      </c>
      <c r="G299" s="9" t="str">
        <f>"4"</f>
        <v>4</v>
      </c>
      <c r="H299" s="9" t="str">
        <f>"3"</f>
        <v>3</v>
      </c>
      <c r="I299" s="12">
        <v>4041</v>
      </c>
    </row>
    <row r="300" spans="1:9" x14ac:dyDescent="0.25">
      <c r="A300" s="9">
        <v>24</v>
      </c>
      <c r="B300" s="10">
        <v>44742</v>
      </c>
      <c r="C300" s="9">
        <v>9</v>
      </c>
      <c r="D300" s="9" t="str">
        <f t="shared" si="45"/>
        <v>2870</v>
      </c>
      <c r="E300" s="11" t="str">
        <f t="shared" si="46"/>
        <v>Прочие транзитные счета</v>
      </c>
      <c r="F300" s="9" t="str">
        <f t="shared" si="47"/>
        <v>1</v>
      </c>
      <c r="G300" s="9" t="str">
        <f>"5"</f>
        <v>5</v>
      </c>
      <c r="H300" s="9" t="str">
        <f>"1"</f>
        <v>1</v>
      </c>
      <c r="I300" s="12">
        <v>996287.04</v>
      </c>
    </row>
    <row r="301" spans="1:9" x14ac:dyDescent="0.25">
      <c r="A301" s="9">
        <v>393</v>
      </c>
      <c r="B301" s="10">
        <v>44742</v>
      </c>
      <c r="C301" s="9">
        <v>9</v>
      </c>
      <c r="D301" s="9" t="str">
        <f t="shared" si="45"/>
        <v>2870</v>
      </c>
      <c r="E301" s="11" t="str">
        <f t="shared" si="46"/>
        <v>Прочие транзитные счета</v>
      </c>
      <c r="F301" s="9" t="str">
        <f t="shared" si="47"/>
        <v>1</v>
      </c>
      <c r="G301" s="9" t="str">
        <f>"6"</f>
        <v>6</v>
      </c>
      <c r="H301" s="9" t="str">
        <f>"1"</f>
        <v>1</v>
      </c>
      <c r="I301" s="12">
        <v>45210</v>
      </c>
    </row>
    <row r="302" spans="1:9" x14ac:dyDescent="0.25">
      <c r="A302" s="9">
        <v>259</v>
      </c>
      <c r="B302" s="10">
        <v>44742</v>
      </c>
      <c r="C302" s="9">
        <v>9</v>
      </c>
      <c r="D302" s="9" t="str">
        <f t="shared" si="45"/>
        <v>2870</v>
      </c>
      <c r="E302" s="11" t="str">
        <f t="shared" si="46"/>
        <v>Прочие транзитные счета</v>
      </c>
      <c r="F302" s="9" t="str">
        <f t="shared" si="47"/>
        <v>1</v>
      </c>
      <c r="G302" s="9" t="str">
        <f>"7"</f>
        <v>7</v>
      </c>
      <c r="H302" s="9" t="str">
        <f>"1"</f>
        <v>1</v>
      </c>
      <c r="I302" s="12">
        <v>18861382.219999999</v>
      </c>
    </row>
    <row r="303" spans="1:9" x14ac:dyDescent="0.25">
      <c r="A303" s="9">
        <v>235</v>
      </c>
      <c r="B303" s="10">
        <v>44742</v>
      </c>
      <c r="C303" s="9">
        <v>9</v>
      </c>
      <c r="D303" s="9" t="str">
        <f t="shared" si="45"/>
        <v>2870</v>
      </c>
      <c r="E303" s="11" t="str">
        <f t="shared" si="46"/>
        <v>Прочие транзитные счета</v>
      </c>
      <c r="F303" s="9" t="str">
        <f t="shared" si="47"/>
        <v>1</v>
      </c>
      <c r="G303" s="9" t="str">
        <f>"7"</f>
        <v>7</v>
      </c>
      <c r="H303" s="9" t="str">
        <f>"2"</f>
        <v>2</v>
      </c>
      <c r="I303" s="12">
        <v>2352255</v>
      </c>
    </row>
    <row r="304" spans="1:9" x14ac:dyDescent="0.25">
      <c r="A304" s="9">
        <v>64</v>
      </c>
      <c r="B304" s="10">
        <v>44742</v>
      </c>
      <c r="C304" s="9">
        <v>9</v>
      </c>
      <c r="D304" s="9" t="str">
        <f t="shared" si="45"/>
        <v>2870</v>
      </c>
      <c r="E304" s="11" t="str">
        <f t="shared" si="46"/>
        <v>Прочие транзитные счета</v>
      </c>
      <c r="F304" s="9" t="str">
        <f t="shared" si="47"/>
        <v>1</v>
      </c>
      <c r="G304" s="9" t="str">
        <f>"9"</f>
        <v>9</v>
      </c>
      <c r="H304" s="9" t="str">
        <f>"1"</f>
        <v>1</v>
      </c>
      <c r="I304" s="12">
        <v>2848498.23</v>
      </c>
    </row>
    <row r="305" spans="1:9" x14ac:dyDescent="0.25">
      <c r="A305" s="9">
        <v>234</v>
      </c>
      <c r="B305" s="10">
        <v>44742</v>
      </c>
      <c r="C305" s="9">
        <v>9</v>
      </c>
      <c r="D305" s="9" t="str">
        <f t="shared" si="45"/>
        <v>2870</v>
      </c>
      <c r="E305" s="11" t="str">
        <f t="shared" si="46"/>
        <v>Прочие транзитные счета</v>
      </c>
      <c r="F305" s="9" t="str">
        <f>"2"</f>
        <v>2</v>
      </c>
      <c r="G305" s="9" t="str">
        <f>"4"</f>
        <v>4</v>
      </c>
      <c r="H305" s="9" t="str">
        <f>"2"</f>
        <v>2</v>
      </c>
      <c r="I305" s="12">
        <v>56299698</v>
      </c>
    </row>
    <row r="306" spans="1:9" x14ac:dyDescent="0.25">
      <c r="A306" s="9">
        <v>330</v>
      </c>
      <c r="B306" s="10">
        <v>44742</v>
      </c>
      <c r="C306" s="9">
        <v>9</v>
      </c>
      <c r="D306" s="9" t="str">
        <f t="shared" si="45"/>
        <v>2870</v>
      </c>
      <c r="E306" s="11" t="str">
        <f t="shared" si="46"/>
        <v>Прочие транзитные счета</v>
      </c>
      <c r="F306" s="9" t="str">
        <f>"2"</f>
        <v>2</v>
      </c>
      <c r="G306" s="9" t="str">
        <f>"7"</f>
        <v>7</v>
      </c>
      <c r="H306" s="9" t="str">
        <f>"2"</f>
        <v>2</v>
      </c>
      <c r="I306" s="12">
        <v>17198219.609999999</v>
      </c>
    </row>
    <row r="307" spans="1:9" x14ac:dyDescent="0.25">
      <c r="A307" s="9">
        <v>103</v>
      </c>
      <c r="B307" s="10">
        <v>44742</v>
      </c>
      <c r="C307" s="9">
        <v>9</v>
      </c>
      <c r="D307" s="9" t="str">
        <f t="shared" si="45"/>
        <v>2870</v>
      </c>
      <c r="E307" s="11" t="str">
        <f t="shared" si="46"/>
        <v>Прочие транзитные счета</v>
      </c>
      <c r="F307" s="9" t="str">
        <f>"2"</f>
        <v>2</v>
      </c>
      <c r="G307" s="9" t="str">
        <f>"9"</f>
        <v>9</v>
      </c>
      <c r="H307" s="9" t="str">
        <f>"2"</f>
        <v>2</v>
      </c>
      <c r="I307" s="12">
        <v>94262175</v>
      </c>
    </row>
    <row r="308" spans="1:9" x14ac:dyDescent="0.25">
      <c r="A308" s="9">
        <v>25</v>
      </c>
      <c r="B308" s="10">
        <v>44742</v>
      </c>
      <c r="C308" s="9">
        <v>9</v>
      </c>
      <c r="D308" s="9" t="str">
        <f>"3001"</f>
        <v>3001</v>
      </c>
      <c r="E308" s="11" t="str">
        <f>"Уставный капитал – простые акции"</f>
        <v>Уставный капитал – простые акции</v>
      </c>
      <c r="F308" s="9" t="str">
        <f>""</f>
        <v/>
      </c>
      <c r="G308" s="9" t="str">
        <f>""</f>
        <v/>
      </c>
      <c r="H308" s="9" t="str">
        <f>""</f>
        <v/>
      </c>
      <c r="I308" s="12">
        <v>5484000000</v>
      </c>
    </row>
    <row r="309" spans="1:9" x14ac:dyDescent="0.25">
      <c r="A309" s="9">
        <v>286</v>
      </c>
      <c r="B309" s="10">
        <v>44742</v>
      </c>
      <c r="C309" s="9">
        <v>9</v>
      </c>
      <c r="D309" s="9" t="str">
        <f>"3101"</f>
        <v>3101</v>
      </c>
      <c r="E309" s="11" t="str">
        <f>"Дополнительный оплаченный капитал"</f>
        <v>Дополнительный оплаченный капитал</v>
      </c>
      <c r="F309" s="9" t="str">
        <f>""</f>
        <v/>
      </c>
      <c r="G309" s="9" t="str">
        <f>""</f>
        <v/>
      </c>
      <c r="H309" s="9" t="str">
        <f>""</f>
        <v/>
      </c>
      <c r="I309" s="12">
        <v>22185000</v>
      </c>
    </row>
    <row r="310" spans="1:9" ht="30" x14ac:dyDescent="0.25">
      <c r="A310" s="9">
        <v>174</v>
      </c>
      <c r="B310" s="10">
        <v>44742</v>
      </c>
      <c r="C310" s="9">
        <v>9</v>
      </c>
      <c r="D310" s="9" t="str">
        <f>"3540"</f>
        <v>3540</v>
      </c>
      <c r="E310" s="11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10" s="9" t="str">
        <f>""</f>
        <v/>
      </c>
      <c r="G310" s="9" t="str">
        <f>""</f>
        <v/>
      </c>
      <c r="H310" s="9" t="str">
        <f>""</f>
        <v/>
      </c>
      <c r="I310" s="12">
        <v>623692315.38999999</v>
      </c>
    </row>
    <row r="311" spans="1:9" ht="30" x14ac:dyDescent="0.25">
      <c r="A311" s="9">
        <v>314</v>
      </c>
      <c r="B311" s="10">
        <v>44742</v>
      </c>
      <c r="C311" s="9">
        <v>9</v>
      </c>
      <c r="D311" s="9" t="str">
        <f>"3580"</f>
        <v>3580</v>
      </c>
      <c r="E311" s="1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311" s="9" t="str">
        <f>""</f>
        <v/>
      </c>
      <c r="G311" s="9" t="str">
        <f>""</f>
        <v/>
      </c>
      <c r="H311" s="9" t="str">
        <f>""</f>
        <v/>
      </c>
      <c r="I311" s="12">
        <v>68019776588.559998</v>
      </c>
    </row>
    <row r="312" spans="1:9" x14ac:dyDescent="0.25">
      <c r="A312" s="9">
        <v>141</v>
      </c>
      <c r="B312" s="10">
        <v>44742</v>
      </c>
      <c r="C312" s="9">
        <v>9</v>
      </c>
      <c r="D312" s="9" t="str">
        <f>"3599"</f>
        <v>3599</v>
      </c>
      <c r="E312" s="11" t="str">
        <f>"Нераспределенная чистая прибыль (непокрытый убыток)"</f>
        <v>Нераспределенная чистая прибыль (непокрытый убыток)</v>
      </c>
      <c r="F312" s="9" t="str">
        <f>""</f>
        <v/>
      </c>
      <c r="G312" s="9" t="str">
        <f>""</f>
        <v/>
      </c>
      <c r="H312" s="9" t="str">
        <f>""</f>
        <v/>
      </c>
      <c r="I312" s="12">
        <v>4329388140.7200003</v>
      </c>
    </row>
    <row r="313" spans="1:9" ht="30" x14ac:dyDescent="0.25">
      <c r="A313" s="9">
        <v>368</v>
      </c>
      <c r="B313" s="10">
        <v>44742</v>
      </c>
      <c r="C313" s="9">
        <v>9</v>
      </c>
      <c r="D313" s="9" t="str">
        <f>"4052"</f>
        <v>4052</v>
      </c>
      <c r="E313" s="1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313" s="9" t="str">
        <f>""</f>
        <v/>
      </c>
      <c r="G313" s="9" t="str">
        <f>""</f>
        <v/>
      </c>
      <c r="H313" s="9" t="str">
        <f>""</f>
        <v/>
      </c>
      <c r="I313" s="12">
        <v>59038867.859999999</v>
      </c>
    </row>
    <row r="314" spans="1:9" ht="45" x14ac:dyDescent="0.25">
      <c r="A314" s="9">
        <v>102</v>
      </c>
      <c r="B314" s="10">
        <v>44742</v>
      </c>
      <c r="C314" s="9">
        <v>9</v>
      </c>
      <c r="D314" s="9" t="str">
        <f>"4103"</f>
        <v>4103</v>
      </c>
      <c r="E314" s="1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314" s="9" t="str">
        <f>""</f>
        <v/>
      </c>
      <c r="G314" s="9" t="str">
        <f>""</f>
        <v/>
      </c>
      <c r="H314" s="9" t="str">
        <f>""</f>
        <v/>
      </c>
      <c r="I314" s="12">
        <v>26346875.579999998</v>
      </c>
    </row>
    <row r="315" spans="1:9" ht="30" x14ac:dyDescent="0.25">
      <c r="A315" s="9">
        <v>367</v>
      </c>
      <c r="B315" s="10">
        <v>44742</v>
      </c>
      <c r="C315" s="9">
        <v>9</v>
      </c>
      <c r="D315" s="9" t="str">
        <f>"4251"</f>
        <v>4251</v>
      </c>
      <c r="E315" s="1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315" s="9" t="str">
        <f>""</f>
        <v/>
      </c>
      <c r="G315" s="9" t="str">
        <f>""</f>
        <v/>
      </c>
      <c r="H315" s="9" t="str">
        <f>""</f>
        <v/>
      </c>
      <c r="I315" s="12">
        <v>58595105.939999998</v>
      </c>
    </row>
    <row r="316" spans="1:9" ht="45" x14ac:dyDescent="0.25">
      <c r="A316" s="9">
        <v>193</v>
      </c>
      <c r="B316" s="10">
        <v>44742</v>
      </c>
      <c r="C316" s="9">
        <v>9</v>
      </c>
      <c r="D316" s="9" t="str">
        <f>"4253"</f>
        <v>4253</v>
      </c>
      <c r="E316" s="1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316" s="9" t="str">
        <f>""</f>
        <v/>
      </c>
      <c r="G316" s="9" t="str">
        <f>""</f>
        <v/>
      </c>
      <c r="H316" s="9" t="str">
        <f>""</f>
        <v/>
      </c>
      <c r="I316" s="12">
        <v>30742027.379999999</v>
      </c>
    </row>
    <row r="317" spans="1:9" ht="45" x14ac:dyDescent="0.25">
      <c r="A317" s="9">
        <v>175</v>
      </c>
      <c r="B317" s="10">
        <v>44742</v>
      </c>
      <c r="C317" s="9">
        <v>9</v>
      </c>
      <c r="D317" s="9" t="str">
        <f>"4254"</f>
        <v>4254</v>
      </c>
      <c r="E317" s="11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317" s="9" t="str">
        <f>""</f>
        <v/>
      </c>
      <c r="G317" s="9" t="str">
        <f>""</f>
        <v/>
      </c>
      <c r="H317" s="9" t="str">
        <f>""</f>
        <v/>
      </c>
      <c r="I317" s="12">
        <v>10591250.92</v>
      </c>
    </row>
    <row r="318" spans="1:9" ht="60" x14ac:dyDescent="0.25">
      <c r="A318" s="9">
        <v>205</v>
      </c>
      <c r="B318" s="10">
        <v>44742</v>
      </c>
      <c r="C318" s="9">
        <v>9</v>
      </c>
      <c r="D318" s="9" t="str">
        <f>"4265"</f>
        <v>4265</v>
      </c>
      <c r="E318" s="11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318" s="9" t="str">
        <f>""</f>
        <v/>
      </c>
      <c r="G318" s="9" t="str">
        <f>""</f>
        <v/>
      </c>
      <c r="H318" s="9" t="str">
        <f>""</f>
        <v/>
      </c>
      <c r="I318" s="12">
        <v>1909646.03</v>
      </c>
    </row>
    <row r="319" spans="1:9" ht="45" x14ac:dyDescent="0.25">
      <c r="A319" s="9">
        <v>63</v>
      </c>
      <c r="B319" s="10">
        <v>44742</v>
      </c>
      <c r="C319" s="9">
        <v>9</v>
      </c>
      <c r="D319" s="9" t="str">
        <f>"4267"</f>
        <v>4267</v>
      </c>
      <c r="E319" s="11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319" s="9" t="str">
        <f>""</f>
        <v/>
      </c>
      <c r="G319" s="9" t="str">
        <f>""</f>
        <v/>
      </c>
      <c r="H319" s="9" t="str">
        <f>""</f>
        <v/>
      </c>
      <c r="I319" s="12">
        <v>4103.76</v>
      </c>
    </row>
    <row r="320" spans="1:9" ht="30" x14ac:dyDescent="0.25">
      <c r="A320" s="9">
        <v>331</v>
      </c>
      <c r="B320" s="10">
        <v>44742</v>
      </c>
      <c r="C320" s="9">
        <v>9</v>
      </c>
      <c r="D320" s="9" t="str">
        <f>"4302"</f>
        <v>4302</v>
      </c>
      <c r="E320" s="11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320" s="9" t="str">
        <f>""</f>
        <v/>
      </c>
      <c r="G320" s="9" t="str">
        <f>""</f>
        <v/>
      </c>
      <c r="H320" s="9" t="str">
        <f>""</f>
        <v/>
      </c>
      <c r="I320" s="12">
        <v>109309441.29000001</v>
      </c>
    </row>
    <row r="321" spans="1:9" ht="30" x14ac:dyDescent="0.25">
      <c r="A321" s="9">
        <v>394</v>
      </c>
      <c r="B321" s="10">
        <v>44742</v>
      </c>
      <c r="C321" s="9">
        <v>9</v>
      </c>
      <c r="D321" s="9" t="str">
        <f>"4303"</f>
        <v>4303</v>
      </c>
      <c r="E321" s="11" t="str">
        <f>"Доходы, связанные с получением вознаграждения по займам овернайт, предоставленным другим банкам"</f>
        <v>Доходы, связанные с получением вознаграждения по займам овернайт, предоставленным другим банкам</v>
      </c>
      <c r="F321" s="9" t="str">
        <f>""</f>
        <v/>
      </c>
      <c r="G321" s="9" t="str">
        <f>""</f>
        <v/>
      </c>
      <c r="H321" s="9" t="str">
        <f>""</f>
        <v/>
      </c>
      <c r="I321" s="12">
        <v>25490288.100000001</v>
      </c>
    </row>
    <row r="322" spans="1:9" ht="30" x14ac:dyDescent="0.25">
      <c r="A322" s="9">
        <v>65</v>
      </c>
      <c r="B322" s="10">
        <v>44742</v>
      </c>
      <c r="C322" s="9">
        <v>9</v>
      </c>
      <c r="D322" s="9" t="str">
        <f>"4401"</f>
        <v>4401</v>
      </c>
      <c r="E322" s="1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322" s="9" t="str">
        <f>""</f>
        <v/>
      </c>
      <c r="G322" s="9" t="str">
        <f>""</f>
        <v/>
      </c>
      <c r="H322" s="9" t="str">
        <f>""</f>
        <v/>
      </c>
      <c r="I322" s="12">
        <v>64051749.100000001</v>
      </c>
    </row>
    <row r="323" spans="1:9" ht="30" x14ac:dyDescent="0.25">
      <c r="A323" s="9">
        <v>26</v>
      </c>
      <c r="B323" s="10">
        <v>44742</v>
      </c>
      <c r="C323" s="9">
        <v>9</v>
      </c>
      <c r="D323" s="9" t="str">
        <f>"4403"</f>
        <v>4403</v>
      </c>
      <c r="E323" s="1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323" s="9" t="str">
        <f>""</f>
        <v/>
      </c>
      <c r="G323" s="9" t="str">
        <f>""</f>
        <v/>
      </c>
      <c r="H323" s="9" t="str">
        <f>""</f>
        <v/>
      </c>
      <c r="I323" s="12">
        <v>2814393135.6700001</v>
      </c>
    </row>
    <row r="324" spans="1:9" ht="30" x14ac:dyDescent="0.25">
      <c r="A324" s="9">
        <v>418</v>
      </c>
      <c r="B324" s="10">
        <v>44742</v>
      </c>
      <c r="C324" s="9">
        <v>9</v>
      </c>
      <c r="D324" s="9" t="str">
        <f>"4407"</f>
        <v>4407</v>
      </c>
      <c r="E324" s="11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324" s="9" t="str">
        <f>""</f>
        <v/>
      </c>
      <c r="G324" s="9" t="str">
        <f>""</f>
        <v/>
      </c>
      <c r="H324" s="9" t="str">
        <f>""</f>
        <v/>
      </c>
      <c r="I324" s="12">
        <v>1769251746.1800001</v>
      </c>
    </row>
    <row r="325" spans="1:9" ht="30" x14ac:dyDescent="0.25">
      <c r="A325" s="9">
        <v>120</v>
      </c>
      <c r="B325" s="10">
        <v>44742</v>
      </c>
      <c r="C325" s="9">
        <v>9</v>
      </c>
      <c r="D325" s="9" t="str">
        <f>"4411"</f>
        <v>4411</v>
      </c>
      <c r="E325" s="1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325" s="9" t="str">
        <f>""</f>
        <v/>
      </c>
      <c r="G325" s="9" t="str">
        <f>""</f>
        <v/>
      </c>
      <c r="H325" s="9" t="str">
        <f>""</f>
        <v/>
      </c>
      <c r="I325" s="12">
        <v>5517314643.3599997</v>
      </c>
    </row>
    <row r="326" spans="1:9" ht="30" x14ac:dyDescent="0.25">
      <c r="A326" s="9">
        <v>395</v>
      </c>
      <c r="B326" s="10">
        <v>44742</v>
      </c>
      <c r="C326" s="9">
        <v>9</v>
      </c>
      <c r="D326" s="9" t="str">
        <f>"4417"</f>
        <v>4417</v>
      </c>
      <c r="E326" s="1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326" s="9" t="str">
        <f>""</f>
        <v/>
      </c>
      <c r="G326" s="9" t="str">
        <f>""</f>
        <v/>
      </c>
      <c r="H326" s="9" t="str">
        <f>""</f>
        <v/>
      </c>
      <c r="I326" s="12">
        <v>22786367669.369999</v>
      </c>
    </row>
    <row r="327" spans="1:9" ht="30" x14ac:dyDescent="0.25">
      <c r="A327" s="9">
        <v>176</v>
      </c>
      <c r="B327" s="10">
        <v>44742</v>
      </c>
      <c r="C327" s="9">
        <v>9</v>
      </c>
      <c r="D327" s="9" t="str">
        <f>"4424"</f>
        <v>4424</v>
      </c>
      <c r="E327" s="1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327" s="9" t="str">
        <f>""</f>
        <v/>
      </c>
      <c r="G327" s="9" t="str">
        <f>""</f>
        <v/>
      </c>
      <c r="H327" s="9" t="str">
        <f>""</f>
        <v/>
      </c>
      <c r="I327" s="12">
        <v>645933383.11000001</v>
      </c>
    </row>
    <row r="328" spans="1:9" ht="30" x14ac:dyDescent="0.25">
      <c r="A328" s="9">
        <v>142</v>
      </c>
      <c r="B328" s="10">
        <v>44742</v>
      </c>
      <c r="C328" s="9">
        <v>9</v>
      </c>
      <c r="D328" s="9" t="str">
        <f>"4429"</f>
        <v>4429</v>
      </c>
      <c r="E328" s="1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328" s="9" t="str">
        <f>""</f>
        <v/>
      </c>
      <c r="G328" s="9" t="str">
        <f>""</f>
        <v/>
      </c>
      <c r="H328" s="9" t="str">
        <f>""</f>
        <v/>
      </c>
      <c r="I328" s="12">
        <v>34382763.259999998</v>
      </c>
    </row>
    <row r="329" spans="1:9" ht="30" x14ac:dyDescent="0.25">
      <c r="A329" s="9">
        <v>455</v>
      </c>
      <c r="B329" s="10">
        <v>44742</v>
      </c>
      <c r="C329" s="9">
        <v>9</v>
      </c>
      <c r="D329" s="9" t="str">
        <f>"4434"</f>
        <v>4434</v>
      </c>
      <c r="E329" s="11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329" s="9" t="str">
        <f>""</f>
        <v/>
      </c>
      <c r="G329" s="9" t="str">
        <f>""</f>
        <v/>
      </c>
      <c r="H329" s="9" t="str">
        <f>""</f>
        <v/>
      </c>
      <c r="I329" s="12">
        <v>4483172961.1199999</v>
      </c>
    </row>
    <row r="330" spans="1:9" ht="30" x14ac:dyDescent="0.25">
      <c r="A330" s="9">
        <v>309</v>
      </c>
      <c r="B330" s="10">
        <v>44742</v>
      </c>
      <c r="C330" s="9">
        <v>9</v>
      </c>
      <c r="D330" s="9" t="str">
        <f>"4440"</f>
        <v>4440</v>
      </c>
      <c r="E330" s="11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330" s="9" t="str">
        <f>""</f>
        <v/>
      </c>
      <c r="G330" s="9" t="str">
        <f>""</f>
        <v/>
      </c>
      <c r="H330" s="9" t="str">
        <f>""</f>
        <v/>
      </c>
      <c r="I330" s="12">
        <v>109745270.05</v>
      </c>
    </row>
    <row r="331" spans="1:9" ht="45" x14ac:dyDescent="0.25">
      <c r="A331" s="9">
        <v>143</v>
      </c>
      <c r="B331" s="10">
        <v>44742</v>
      </c>
      <c r="C331" s="9">
        <v>9</v>
      </c>
      <c r="D331" s="9" t="str">
        <f>"4452"</f>
        <v>4452</v>
      </c>
      <c r="E331" s="1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331" s="9" t="str">
        <f>""</f>
        <v/>
      </c>
      <c r="G331" s="9" t="str">
        <f>""</f>
        <v/>
      </c>
      <c r="H331" s="9" t="str">
        <f>""</f>
        <v/>
      </c>
      <c r="I331" s="12">
        <v>282524837.32999998</v>
      </c>
    </row>
    <row r="332" spans="1:9" ht="45" x14ac:dyDescent="0.25">
      <c r="A332" s="9">
        <v>215</v>
      </c>
      <c r="B332" s="10">
        <v>44742</v>
      </c>
      <c r="C332" s="9">
        <v>9</v>
      </c>
      <c r="D332" s="9" t="str">
        <f>"4453"</f>
        <v>4453</v>
      </c>
      <c r="E332" s="1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332" s="9" t="str">
        <f>""</f>
        <v/>
      </c>
      <c r="G332" s="9" t="str">
        <f>""</f>
        <v/>
      </c>
      <c r="H332" s="9" t="str">
        <f>""</f>
        <v/>
      </c>
      <c r="I332" s="12">
        <v>176514920.5</v>
      </c>
    </row>
    <row r="333" spans="1:9" ht="30" x14ac:dyDescent="0.25">
      <c r="A333" s="9">
        <v>287</v>
      </c>
      <c r="B333" s="10">
        <v>44742</v>
      </c>
      <c r="C333" s="9">
        <v>9</v>
      </c>
      <c r="D333" s="9" t="str">
        <f>"4465"</f>
        <v>4465</v>
      </c>
      <c r="E333" s="11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333" s="9" t="str">
        <f>""</f>
        <v/>
      </c>
      <c r="G333" s="9" t="str">
        <f>""</f>
        <v/>
      </c>
      <c r="H333" s="9" t="str">
        <f>""</f>
        <v/>
      </c>
      <c r="I333" s="12">
        <v>94640643.450000003</v>
      </c>
    </row>
    <row r="334" spans="1:9" ht="30" x14ac:dyDescent="0.25">
      <c r="A334" s="9">
        <v>121</v>
      </c>
      <c r="B334" s="10">
        <v>44742</v>
      </c>
      <c r="C334" s="9">
        <v>9</v>
      </c>
      <c r="D334" s="9" t="str">
        <f>"4481"</f>
        <v>4481</v>
      </c>
      <c r="E334" s="1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334" s="9" t="str">
        <f>""</f>
        <v/>
      </c>
      <c r="G334" s="9" t="str">
        <f>""</f>
        <v/>
      </c>
      <c r="H334" s="9" t="str">
        <f>""</f>
        <v/>
      </c>
      <c r="I334" s="12">
        <v>518433257.19999999</v>
      </c>
    </row>
    <row r="335" spans="1:9" ht="30" x14ac:dyDescent="0.25">
      <c r="A335" s="9">
        <v>451</v>
      </c>
      <c r="B335" s="10">
        <v>44742</v>
      </c>
      <c r="C335" s="9">
        <v>9</v>
      </c>
      <c r="D335" s="9" t="str">
        <f>"4482"</f>
        <v>4482</v>
      </c>
      <c r="E335" s="1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335" s="9" t="str">
        <f>""</f>
        <v/>
      </c>
      <c r="G335" s="9" t="str">
        <f>""</f>
        <v/>
      </c>
      <c r="H335" s="9" t="str">
        <f>""</f>
        <v/>
      </c>
      <c r="I335" s="12">
        <v>487845892.11000001</v>
      </c>
    </row>
    <row r="336" spans="1:9" ht="30" x14ac:dyDescent="0.25">
      <c r="A336" s="9">
        <v>66</v>
      </c>
      <c r="B336" s="10">
        <v>44742</v>
      </c>
      <c r="C336" s="9">
        <v>9</v>
      </c>
      <c r="D336" s="9" t="str">
        <f>"4492"</f>
        <v>4492</v>
      </c>
      <c r="E336" s="11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336" s="9" t="str">
        <f>""</f>
        <v/>
      </c>
      <c r="G336" s="9" t="str">
        <f>""</f>
        <v/>
      </c>
      <c r="H336" s="9" t="str">
        <f>""</f>
        <v/>
      </c>
      <c r="I336" s="12">
        <v>14872429.5</v>
      </c>
    </row>
    <row r="337" spans="1:9" x14ac:dyDescent="0.25">
      <c r="A337" s="9">
        <v>441</v>
      </c>
      <c r="B337" s="10">
        <v>44742</v>
      </c>
      <c r="C337" s="9">
        <v>9</v>
      </c>
      <c r="D337" s="9" t="str">
        <f>"4510"</f>
        <v>4510</v>
      </c>
      <c r="E337" s="11" t="str">
        <f>"Доходы по купле-продаже ценных бумаг"</f>
        <v>Доходы по купле-продаже ценных бумаг</v>
      </c>
      <c r="F337" s="9" t="str">
        <f>""</f>
        <v/>
      </c>
      <c r="G337" s="9" t="str">
        <f>""</f>
        <v/>
      </c>
      <c r="H337" s="9" t="str">
        <f>""</f>
        <v/>
      </c>
      <c r="I337" s="12">
        <v>78322421.569999993</v>
      </c>
    </row>
    <row r="338" spans="1:9" x14ac:dyDescent="0.25">
      <c r="A338" s="9">
        <v>376</v>
      </c>
      <c r="B338" s="10">
        <v>44742</v>
      </c>
      <c r="C338" s="9">
        <v>9</v>
      </c>
      <c r="D338" s="9" t="str">
        <f>"4530"</f>
        <v>4530</v>
      </c>
      <c r="E338" s="11" t="str">
        <f>"Доходы по купле-продаже иностранной валюты"</f>
        <v>Доходы по купле-продаже иностранной валюты</v>
      </c>
      <c r="F338" s="9" t="str">
        <f>""</f>
        <v/>
      </c>
      <c r="G338" s="9" t="str">
        <f>""</f>
        <v/>
      </c>
      <c r="H338" s="9" t="str">
        <f>""</f>
        <v/>
      </c>
      <c r="I338" s="12">
        <v>23391078251.439999</v>
      </c>
    </row>
    <row r="339" spans="1:9" ht="30" x14ac:dyDescent="0.25">
      <c r="A339" s="9">
        <v>27</v>
      </c>
      <c r="B339" s="10">
        <v>44742</v>
      </c>
      <c r="C339" s="9">
        <v>9</v>
      </c>
      <c r="D339" s="9" t="str">
        <f>"4570"</f>
        <v>4570</v>
      </c>
      <c r="E339" s="11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339" s="9" t="str">
        <f>""</f>
        <v/>
      </c>
      <c r="G339" s="9" t="str">
        <f>""</f>
        <v/>
      </c>
      <c r="H339" s="9" t="str">
        <f>""</f>
        <v/>
      </c>
      <c r="I339" s="12">
        <v>240180000</v>
      </c>
    </row>
    <row r="340" spans="1:9" x14ac:dyDescent="0.25">
      <c r="A340" s="9">
        <v>195</v>
      </c>
      <c r="B340" s="10">
        <v>44742</v>
      </c>
      <c r="C340" s="9">
        <v>9</v>
      </c>
      <c r="D340" s="9" t="str">
        <f>"4601"</f>
        <v>4601</v>
      </c>
      <c r="E340" s="11" t="str">
        <f>"Комиссионные доходы за услуги по переводным операциям"</f>
        <v>Комиссионные доходы за услуги по переводным операциям</v>
      </c>
      <c r="F340" s="9" t="str">
        <f>""</f>
        <v/>
      </c>
      <c r="G340" s="9" t="str">
        <f>""</f>
        <v/>
      </c>
      <c r="H340" s="9" t="str">
        <f>""</f>
        <v/>
      </c>
      <c r="I340" s="12">
        <v>990450979.87</v>
      </c>
    </row>
    <row r="341" spans="1:9" ht="30" x14ac:dyDescent="0.25">
      <c r="A341" s="9">
        <v>104</v>
      </c>
      <c r="B341" s="10">
        <v>44742</v>
      </c>
      <c r="C341" s="9">
        <v>9</v>
      </c>
      <c r="D341" s="9" t="str">
        <f>"4603"</f>
        <v>4603</v>
      </c>
      <c r="E341" s="11" t="str">
        <f>"Комиссионные доходы за услуги по купле-продаже ценных бумаг"</f>
        <v>Комиссионные доходы за услуги по купле-продаже ценных бумаг</v>
      </c>
      <c r="F341" s="9" t="str">
        <f>""</f>
        <v/>
      </c>
      <c r="G341" s="9" t="str">
        <f>""</f>
        <v/>
      </c>
      <c r="H341" s="9" t="str">
        <f>""</f>
        <v/>
      </c>
      <c r="I341" s="12">
        <v>23571698.010000002</v>
      </c>
    </row>
    <row r="342" spans="1:9" ht="30" x14ac:dyDescent="0.25">
      <c r="A342" s="9">
        <v>177</v>
      </c>
      <c r="B342" s="10">
        <v>44742</v>
      </c>
      <c r="C342" s="9">
        <v>9</v>
      </c>
      <c r="D342" s="9" t="str">
        <f>"4604"</f>
        <v>4604</v>
      </c>
      <c r="E342" s="1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342" s="9" t="str">
        <f>""</f>
        <v/>
      </c>
      <c r="G342" s="9" t="str">
        <f>""</f>
        <v/>
      </c>
      <c r="H342" s="9" t="str">
        <f>""</f>
        <v/>
      </c>
      <c r="I342" s="12">
        <v>428131165.69999999</v>
      </c>
    </row>
    <row r="343" spans="1:9" x14ac:dyDescent="0.25">
      <c r="A343" s="9">
        <v>288</v>
      </c>
      <c r="B343" s="10">
        <v>44742</v>
      </c>
      <c r="C343" s="9">
        <v>9</v>
      </c>
      <c r="D343" s="9" t="str">
        <f>"4606"</f>
        <v>4606</v>
      </c>
      <c r="E343" s="11" t="str">
        <f>"Комиссионные доходы за услуги по операциям с гарантиями"</f>
        <v>Комиссионные доходы за услуги по операциям с гарантиями</v>
      </c>
      <c r="F343" s="9" t="str">
        <f>""</f>
        <v/>
      </c>
      <c r="G343" s="9" t="str">
        <f>""</f>
        <v/>
      </c>
      <c r="H343" s="9" t="str">
        <f>""</f>
        <v/>
      </c>
      <c r="I343" s="12">
        <v>483132454.13</v>
      </c>
    </row>
    <row r="344" spans="1:9" ht="30" x14ac:dyDescent="0.25">
      <c r="A344" s="9">
        <v>236</v>
      </c>
      <c r="B344" s="10">
        <v>44742</v>
      </c>
      <c r="C344" s="9">
        <v>9</v>
      </c>
      <c r="D344" s="9" t="str">
        <f>"4607"</f>
        <v>4607</v>
      </c>
      <c r="E344" s="1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344" s="9" t="str">
        <f>""</f>
        <v/>
      </c>
      <c r="G344" s="9" t="str">
        <f>""</f>
        <v/>
      </c>
      <c r="H344" s="9" t="str">
        <f>""</f>
        <v/>
      </c>
      <c r="I344" s="12">
        <v>2520589319.1500001</v>
      </c>
    </row>
    <row r="345" spans="1:9" x14ac:dyDescent="0.25">
      <c r="A345" s="9">
        <v>105</v>
      </c>
      <c r="B345" s="10">
        <v>44742</v>
      </c>
      <c r="C345" s="9">
        <v>9</v>
      </c>
      <c r="D345" s="9" t="str">
        <f>"4608"</f>
        <v>4608</v>
      </c>
      <c r="E345" s="11" t="str">
        <f>"Прочие комиссионные доходы"</f>
        <v>Прочие комиссионные доходы</v>
      </c>
      <c r="F345" s="9" t="str">
        <f>""</f>
        <v/>
      </c>
      <c r="G345" s="9" t="str">
        <f>""</f>
        <v/>
      </c>
      <c r="H345" s="9" t="str">
        <f>""</f>
        <v/>
      </c>
      <c r="I345" s="12">
        <v>3433444614.7800002</v>
      </c>
    </row>
    <row r="346" spans="1:9" ht="30" x14ac:dyDescent="0.25">
      <c r="A346" s="9">
        <v>341</v>
      </c>
      <c r="B346" s="10">
        <v>44742</v>
      </c>
      <c r="C346" s="9">
        <v>9</v>
      </c>
      <c r="D346" s="9" t="str">
        <f>"4609"</f>
        <v>4609</v>
      </c>
      <c r="E346" s="1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346" s="9" t="str">
        <f>""</f>
        <v/>
      </c>
      <c r="G346" s="9" t="str">
        <f>""</f>
        <v/>
      </c>
      <c r="H346" s="9" t="str">
        <f>""</f>
        <v/>
      </c>
      <c r="I346" s="12">
        <v>2834.73</v>
      </c>
    </row>
    <row r="347" spans="1:9" x14ac:dyDescent="0.25">
      <c r="A347" s="9">
        <v>194</v>
      </c>
      <c r="B347" s="10">
        <v>44742</v>
      </c>
      <c r="C347" s="9">
        <v>9</v>
      </c>
      <c r="D347" s="9" t="str">
        <f>"4611"</f>
        <v>4611</v>
      </c>
      <c r="E347" s="11" t="str">
        <f>"Комиссионные доходы за услуги по кассовым операциям"</f>
        <v>Комиссионные доходы за услуги по кассовым операциям</v>
      </c>
      <c r="F347" s="9" t="str">
        <f>""</f>
        <v/>
      </c>
      <c r="G347" s="9" t="str">
        <f>""</f>
        <v/>
      </c>
      <c r="H347" s="9" t="str">
        <f>""</f>
        <v/>
      </c>
      <c r="I347" s="12">
        <v>1147641849.0599999</v>
      </c>
    </row>
    <row r="348" spans="1:9" x14ac:dyDescent="0.25">
      <c r="A348" s="9">
        <v>296</v>
      </c>
      <c r="B348" s="10">
        <v>44742</v>
      </c>
      <c r="C348" s="9">
        <v>9</v>
      </c>
      <c r="D348" s="9" t="str">
        <f>"4612"</f>
        <v>4612</v>
      </c>
      <c r="E348" s="11" t="str">
        <f>"Комиссионные доходы по документарным расчетам"</f>
        <v>Комиссионные доходы по документарным расчетам</v>
      </c>
      <c r="F348" s="9" t="str">
        <f>""</f>
        <v/>
      </c>
      <c r="G348" s="9" t="str">
        <f>""</f>
        <v/>
      </c>
      <c r="H348" s="9" t="str">
        <f>""</f>
        <v/>
      </c>
      <c r="I348" s="12">
        <v>38921041.549999997</v>
      </c>
    </row>
    <row r="349" spans="1:9" x14ac:dyDescent="0.25">
      <c r="A349" s="9">
        <v>68</v>
      </c>
      <c r="B349" s="10">
        <v>44742</v>
      </c>
      <c r="C349" s="9">
        <v>9</v>
      </c>
      <c r="D349" s="9" t="str">
        <f>"4614"</f>
        <v>4614</v>
      </c>
      <c r="E349" s="11" t="str">
        <f>"Комиссионные доходы за услуги по факторинговым операциям"</f>
        <v>Комиссионные доходы за услуги по факторинговым операциям</v>
      </c>
      <c r="F349" s="9" t="str">
        <f>""</f>
        <v/>
      </c>
      <c r="G349" s="9" t="str">
        <f>""</f>
        <v/>
      </c>
      <c r="H349" s="9" t="str">
        <f>""</f>
        <v/>
      </c>
      <c r="I349" s="12">
        <v>5231810.3600000003</v>
      </c>
    </row>
    <row r="350" spans="1:9" x14ac:dyDescent="0.25">
      <c r="A350" s="9">
        <v>443</v>
      </c>
      <c r="B350" s="10">
        <v>44742</v>
      </c>
      <c r="C350" s="9">
        <v>9</v>
      </c>
      <c r="D350" s="9" t="str">
        <f>"4615"</f>
        <v>4615</v>
      </c>
      <c r="E350" s="11" t="str">
        <f>"Комиссионные доходы за услуги по инкассации"</f>
        <v>Комиссионные доходы за услуги по инкассации</v>
      </c>
      <c r="F350" s="9" t="str">
        <f>""</f>
        <v/>
      </c>
      <c r="G350" s="9" t="str">
        <f>""</f>
        <v/>
      </c>
      <c r="H350" s="9" t="str">
        <f>""</f>
        <v/>
      </c>
      <c r="I350" s="12">
        <v>29171682.420000002</v>
      </c>
    </row>
    <row r="351" spans="1:9" x14ac:dyDescent="0.25">
      <c r="A351" s="9">
        <v>369</v>
      </c>
      <c r="B351" s="10">
        <v>44742</v>
      </c>
      <c r="C351" s="9">
        <v>9</v>
      </c>
      <c r="D351" s="9" t="str">
        <f>"4617"</f>
        <v>4617</v>
      </c>
      <c r="E351" s="11" t="str">
        <f>"Комиссионные доходы за услуги по сейфовым операциям"</f>
        <v>Комиссионные доходы за услуги по сейфовым операциям</v>
      </c>
      <c r="F351" s="9" t="str">
        <f>""</f>
        <v/>
      </c>
      <c r="G351" s="9" t="str">
        <f>""</f>
        <v/>
      </c>
      <c r="H351" s="9" t="str">
        <f>""</f>
        <v/>
      </c>
      <c r="I351" s="12">
        <v>15177058.98</v>
      </c>
    </row>
    <row r="352" spans="1:9" x14ac:dyDescent="0.25">
      <c r="A352" s="9">
        <v>419</v>
      </c>
      <c r="B352" s="10">
        <v>44742</v>
      </c>
      <c r="C352" s="9">
        <v>9</v>
      </c>
      <c r="D352" s="9" t="str">
        <f>"4703"</f>
        <v>4703</v>
      </c>
      <c r="E352" s="11" t="str">
        <f>"Доход от переоценки иностранной валюты"</f>
        <v>Доход от переоценки иностранной валюты</v>
      </c>
      <c r="F352" s="9" t="str">
        <f>""</f>
        <v/>
      </c>
      <c r="G352" s="9" t="str">
        <f>""</f>
        <v/>
      </c>
      <c r="H352" s="9" t="str">
        <f>""</f>
        <v/>
      </c>
      <c r="I352" s="12">
        <v>25512052767.540001</v>
      </c>
    </row>
    <row r="353" spans="1:9" x14ac:dyDescent="0.25">
      <c r="A353" s="9">
        <v>106</v>
      </c>
      <c r="B353" s="10">
        <v>44742</v>
      </c>
      <c r="C353" s="9">
        <v>9</v>
      </c>
      <c r="D353" s="9" t="str">
        <f>"4734"</f>
        <v>4734</v>
      </c>
      <c r="E353" s="11" t="str">
        <f>"Доходы от прочей переоценки"</f>
        <v>Доходы от прочей переоценки</v>
      </c>
      <c r="F353" s="9" t="str">
        <f>""</f>
        <v/>
      </c>
      <c r="G353" s="9" t="str">
        <f>""</f>
        <v/>
      </c>
      <c r="H353" s="9" t="str">
        <f>""</f>
        <v/>
      </c>
      <c r="I353" s="12">
        <v>45438133.909999996</v>
      </c>
    </row>
    <row r="354" spans="1:9" ht="30" x14ac:dyDescent="0.25">
      <c r="A354" s="9">
        <v>420</v>
      </c>
      <c r="B354" s="10">
        <v>44742</v>
      </c>
      <c r="C354" s="9">
        <v>9</v>
      </c>
      <c r="D354" s="9" t="str">
        <f>"4852"</f>
        <v>4852</v>
      </c>
      <c r="E354" s="1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354" s="9" t="str">
        <f>""</f>
        <v/>
      </c>
      <c r="G354" s="9" t="str">
        <f>""</f>
        <v/>
      </c>
      <c r="H354" s="9" t="str">
        <f>""</f>
        <v/>
      </c>
      <c r="I354" s="12">
        <v>2447049.0099999998</v>
      </c>
    </row>
    <row r="355" spans="1:9" x14ac:dyDescent="0.25">
      <c r="A355" s="9">
        <v>70</v>
      </c>
      <c r="B355" s="10">
        <v>44742</v>
      </c>
      <c r="C355" s="9">
        <v>9</v>
      </c>
      <c r="D355" s="9" t="str">
        <f>"4892"</f>
        <v>4892</v>
      </c>
      <c r="E355" s="11" t="str">
        <f>"Доходы по операциям форвард"</f>
        <v>Доходы по операциям форвард</v>
      </c>
      <c r="F355" s="9" t="str">
        <f>""</f>
        <v/>
      </c>
      <c r="G355" s="9" t="str">
        <f>""</f>
        <v/>
      </c>
      <c r="H355" s="9" t="str">
        <f>""</f>
        <v/>
      </c>
      <c r="I355" s="12">
        <v>256710576.53</v>
      </c>
    </row>
    <row r="356" spans="1:9" x14ac:dyDescent="0.25">
      <c r="A356" s="9">
        <v>247</v>
      </c>
      <c r="B356" s="10">
        <v>44742</v>
      </c>
      <c r="C356" s="9">
        <v>9</v>
      </c>
      <c r="D356" s="9" t="str">
        <f>"4895"</f>
        <v>4895</v>
      </c>
      <c r="E356" s="11" t="str">
        <f>"Доходы по операциям своп"</f>
        <v>Доходы по операциям своп</v>
      </c>
      <c r="F356" s="9" t="str">
        <f>""</f>
        <v/>
      </c>
      <c r="G356" s="9" t="str">
        <f>""</f>
        <v/>
      </c>
      <c r="H356" s="9" t="str">
        <f>""</f>
        <v/>
      </c>
      <c r="I356" s="12">
        <v>8174524763.8999996</v>
      </c>
    </row>
    <row r="357" spans="1:9" x14ac:dyDescent="0.25">
      <c r="A357" s="9">
        <v>28</v>
      </c>
      <c r="B357" s="10">
        <v>44742</v>
      </c>
      <c r="C357" s="9">
        <v>9</v>
      </c>
      <c r="D357" s="9" t="str">
        <f>"4900"</f>
        <v>4900</v>
      </c>
      <c r="E357" s="11" t="str">
        <f>"Неустойка (штраф, пеня)"</f>
        <v>Неустойка (штраф, пеня)</v>
      </c>
      <c r="F357" s="9" t="str">
        <f>""</f>
        <v/>
      </c>
      <c r="G357" s="9" t="str">
        <f>""</f>
        <v/>
      </c>
      <c r="H357" s="9" t="str">
        <f>""</f>
        <v/>
      </c>
      <c r="I357" s="12">
        <v>587966105.49000001</v>
      </c>
    </row>
    <row r="358" spans="1:9" x14ac:dyDescent="0.25">
      <c r="A358" s="9">
        <v>251</v>
      </c>
      <c r="B358" s="10">
        <v>44742</v>
      </c>
      <c r="C358" s="9">
        <v>9</v>
      </c>
      <c r="D358" s="9" t="str">
        <f>"4921"</f>
        <v>4921</v>
      </c>
      <c r="E358" s="11" t="str">
        <f>"Прочие доходы от банковской деятельности"</f>
        <v>Прочие доходы от банковской деятельности</v>
      </c>
      <c r="F358" s="9" t="str">
        <f>""</f>
        <v/>
      </c>
      <c r="G358" s="9" t="str">
        <f>""</f>
        <v/>
      </c>
      <c r="H358" s="9" t="str">
        <f>""</f>
        <v/>
      </c>
      <c r="I358" s="12">
        <v>93530499.599999994</v>
      </c>
    </row>
    <row r="359" spans="1:9" x14ac:dyDescent="0.25">
      <c r="A359" s="9">
        <v>396</v>
      </c>
      <c r="B359" s="10">
        <v>44742</v>
      </c>
      <c r="C359" s="9">
        <v>9</v>
      </c>
      <c r="D359" s="9" t="str">
        <f>"4922"</f>
        <v>4922</v>
      </c>
      <c r="E359" s="11" t="str">
        <f>"Прочие доходы от неосновной деятельности"</f>
        <v>Прочие доходы от неосновной деятельности</v>
      </c>
      <c r="F359" s="9" t="str">
        <f>""</f>
        <v/>
      </c>
      <c r="G359" s="9" t="str">
        <f>""</f>
        <v/>
      </c>
      <c r="H359" s="9" t="str">
        <f>""</f>
        <v/>
      </c>
      <c r="I359" s="12">
        <v>11704224970.110001</v>
      </c>
    </row>
    <row r="360" spans="1:9" ht="30" x14ac:dyDescent="0.25">
      <c r="A360" s="9">
        <v>351</v>
      </c>
      <c r="B360" s="10">
        <v>44742</v>
      </c>
      <c r="C360" s="9">
        <v>9</v>
      </c>
      <c r="D360" s="9" t="str">
        <f>"4951"</f>
        <v>4951</v>
      </c>
      <c r="E360" s="1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360" s="9" t="str">
        <f>""</f>
        <v/>
      </c>
      <c r="G360" s="9" t="str">
        <f>""</f>
        <v/>
      </c>
      <c r="H360" s="9" t="str">
        <f>""</f>
        <v/>
      </c>
      <c r="I360" s="12">
        <v>82737893.049999997</v>
      </c>
    </row>
    <row r="361" spans="1:9" ht="45" x14ac:dyDescent="0.25">
      <c r="A361" s="9">
        <v>237</v>
      </c>
      <c r="B361" s="10">
        <v>44742</v>
      </c>
      <c r="C361" s="9">
        <v>9</v>
      </c>
      <c r="D361" s="9" t="str">
        <f>"4952"</f>
        <v>4952</v>
      </c>
      <c r="E361" s="11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361" s="9" t="str">
        <f>""</f>
        <v/>
      </c>
      <c r="G361" s="9" t="str">
        <f>""</f>
        <v/>
      </c>
      <c r="H361" s="9" t="str">
        <f>""</f>
        <v/>
      </c>
      <c r="I361" s="12">
        <v>38303852.729999997</v>
      </c>
    </row>
    <row r="362" spans="1:9" ht="45" x14ac:dyDescent="0.25">
      <c r="A362" s="9">
        <v>71</v>
      </c>
      <c r="B362" s="10">
        <v>44742</v>
      </c>
      <c r="C362" s="9">
        <v>9</v>
      </c>
      <c r="D362" s="9" t="str">
        <f>"4953"</f>
        <v>4953</v>
      </c>
      <c r="E362" s="1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362" s="9" t="str">
        <f>""</f>
        <v/>
      </c>
      <c r="G362" s="9" t="str">
        <f>""</f>
        <v/>
      </c>
      <c r="H362" s="9" t="str">
        <f>""</f>
        <v/>
      </c>
      <c r="I362" s="12">
        <v>46438754.390000001</v>
      </c>
    </row>
    <row r="363" spans="1:9" ht="30" x14ac:dyDescent="0.25">
      <c r="A363" s="9">
        <v>216</v>
      </c>
      <c r="B363" s="10">
        <v>44742</v>
      </c>
      <c r="C363" s="9">
        <v>9</v>
      </c>
      <c r="D363" s="9" t="str">
        <f>"4954"</f>
        <v>4954</v>
      </c>
      <c r="E363" s="1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363" s="9" t="str">
        <f>""</f>
        <v/>
      </c>
      <c r="G363" s="9" t="str">
        <f>""</f>
        <v/>
      </c>
      <c r="H363" s="9" t="str">
        <f>""</f>
        <v/>
      </c>
      <c r="I363" s="12">
        <v>70565.22</v>
      </c>
    </row>
    <row r="364" spans="1:9" ht="30" x14ac:dyDescent="0.25">
      <c r="A364" s="9">
        <v>399</v>
      </c>
      <c r="B364" s="10">
        <v>44742</v>
      </c>
      <c r="C364" s="9">
        <v>9</v>
      </c>
      <c r="D364" s="9" t="str">
        <f>"4955"</f>
        <v>4955</v>
      </c>
      <c r="E364" s="1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364" s="9" t="str">
        <f>""</f>
        <v/>
      </c>
      <c r="G364" s="9" t="str">
        <f>""</f>
        <v/>
      </c>
      <c r="H364" s="9" t="str">
        <f>""</f>
        <v/>
      </c>
      <c r="I364" s="12">
        <v>18944170671.439999</v>
      </c>
    </row>
    <row r="365" spans="1:9" ht="45" x14ac:dyDescent="0.25">
      <c r="A365" s="9">
        <v>67</v>
      </c>
      <c r="B365" s="10">
        <v>44742</v>
      </c>
      <c r="C365" s="9">
        <v>9</v>
      </c>
      <c r="D365" s="9" t="str">
        <f>"4956"</f>
        <v>4956</v>
      </c>
      <c r="E365" s="1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365" s="9" t="str">
        <f>""</f>
        <v/>
      </c>
      <c r="G365" s="9" t="str">
        <f>""</f>
        <v/>
      </c>
      <c r="H365" s="9" t="str">
        <f>""</f>
        <v/>
      </c>
      <c r="I365" s="12">
        <v>291725684.97000003</v>
      </c>
    </row>
    <row r="366" spans="1:9" ht="30" x14ac:dyDescent="0.25">
      <c r="A366" s="9">
        <v>346</v>
      </c>
      <c r="B366" s="10">
        <v>44742</v>
      </c>
      <c r="C366" s="9">
        <v>9</v>
      </c>
      <c r="D366" s="9" t="str">
        <f>"4958"</f>
        <v>4958</v>
      </c>
      <c r="E366" s="1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366" s="9" t="str">
        <f>""</f>
        <v/>
      </c>
      <c r="G366" s="9" t="str">
        <f>""</f>
        <v/>
      </c>
      <c r="H366" s="9" t="str">
        <f>""</f>
        <v/>
      </c>
      <c r="I366" s="12">
        <v>620462930.26999998</v>
      </c>
    </row>
    <row r="367" spans="1:9" ht="45" x14ac:dyDescent="0.25">
      <c r="A367" s="9">
        <v>69</v>
      </c>
      <c r="B367" s="10">
        <v>44742</v>
      </c>
      <c r="C367" s="9">
        <v>9</v>
      </c>
      <c r="D367" s="9" t="str">
        <f>"4959"</f>
        <v>4959</v>
      </c>
      <c r="E367" s="1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367" s="9" t="str">
        <f>""</f>
        <v/>
      </c>
      <c r="G367" s="9" t="str">
        <f>""</f>
        <v/>
      </c>
      <c r="H367" s="9" t="str">
        <f>""</f>
        <v/>
      </c>
      <c r="I367" s="12">
        <v>120709014.55</v>
      </c>
    </row>
    <row r="368" spans="1:9" ht="45" x14ac:dyDescent="0.25">
      <c r="A368" s="9">
        <v>336</v>
      </c>
      <c r="B368" s="10">
        <v>44742</v>
      </c>
      <c r="C368" s="9">
        <v>9</v>
      </c>
      <c r="D368" s="9" t="str">
        <f>"4963"</f>
        <v>4963</v>
      </c>
      <c r="E368" s="1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368" s="9" t="str">
        <f>""</f>
        <v/>
      </c>
      <c r="G368" s="9" t="str">
        <f>""</f>
        <v/>
      </c>
      <c r="H368" s="9" t="str">
        <f>""</f>
        <v/>
      </c>
      <c r="I368" s="12">
        <v>149398676.12</v>
      </c>
    </row>
    <row r="369" spans="1:9" ht="45" x14ac:dyDescent="0.25">
      <c r="A369" s="9">
        <v>260</v>
      </c>
      <c r="B369" s="10">
        <v>44742</v>
      </c>
      <c r="C369" s="9">
        <v>9</v>
      </c>
      <c r="D369" s="9" t="str">
        <f>"5066"</f>
        <v>5066</v>
      </c>
      <c r="E369" s="1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369" s="9" t="str">
        <f>""</f>
        <v/>
      </c>
      <c r="G369" s="9" t="str">
        <f>""</f>
        <v/>
      </c>
      <c r="H369" s="9" t="str">
        <f>""</f>
        <v/>
      </c>
      <c r="I369" s="12">
        <v>468525508.64999998</v>
      </c>
    </row>
    <row r="370" spans="1:9" ht="30" x14ac:dyDescent="0.25">
      <c r="A370" s="9">
        <v>397</v>
      </c>
      <c r="B370" s="10">
        <v>44742</v>
      </c>
      <c r="C370" s="9">
        <v>9</v>
      </c>
      <c r="D370" s="9" t="str">
        <f>"5126"</f>
        <v>5126</v>
      </c>
      <c r="E370" s="1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370" s="9" t="str">
        <f>""</f>
        <v/>
      </c>
      <c r="G370" s="9" t="str">
        <f>""</f>
        <v/>
      </c>
      <c r="H370" s="9" t="str">
        <f>""</f>
        <v/>
      </c>
      <c r="I370" s="12">
        <v>34185806.100000001</v>
      </c>
    </row>
    <row r="371" spans="1:9" ht="30" x14ac:dyDescent="0.25">
      <c r="A371" s="9">
        <v>196</v>
      </c>
      <c r="B371" s="10">
        <v>44742</v>
      </c>
      <c r="C371" s="9">
        <v>9</v>
      </c>
      <c r="D371" s="9" t="str">
        <f>"5127"</f>
        <v>5127</v>
      </c>
      <c r="E371" s="11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371" s="9" t="str">
        <f>""</f>
        <v/>
      </c>
      <c r="G371" s="9" t="str">
        <f>""</f>
        <v/>
      </c>
      <c r="H371" s="9" t="str">
        <f>""</f>
        <v/>
      </c>
      <c r="I371" s="12">
        <v>5289014.3899999997</v>
      </c>
    </row>
    <row r="372" spans="1:9" ht="30" x14ac:dyDescent="0.25">
      <c r="A372" s="9">
        <v>442</v>
      </c>
      <c r="B372" s="10">
        <v>44742</v>
      </c>
      <c r="C372" s="9">
        <v>9</v>
      </c>
      <c r="D372" s="9" t="str">
        <f>"5128"</f>
        <v>5128</v>
      </c>
      <c r="E372" s="11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F372" s="9" t="str">
        <f>""</f>
        <v/>
      </c>
      <c r="G372" s="9" t="str">
        <f>""</f>
        <v/>
      </c>
      <c r="H372" s="9" t="str">
        <f>""</f>
        <v/>
      </c>
      <c r="I372" s="12">
        <v>140942806.13999999</v>
      </c>
    </row>
    <row r="373" spans="1:9" ht="30" x14ac:dyDescent="0.25">
      <c r="A373" s="9">
        <v>144</v>
      </c>
      <c r="B373" s="10">
        <v>44742</v>
      </c>
      <c r="C373" s="9">
        <v>9</v>
      </c>
      <c r="D373" s="9" t="str">
        <f>"5215"</f>
        <v>5215</v>
      </c>
      <c r="E373" s="1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373" s="9" t="str">
        <f>""</f>
        <v/>
      </c>
      <c r="G373" s="9" t="str">
        <f>""</f>
        <v/>
      </c>
      <c r="H373" s="9" t="str">
        <f>""</f>
        <v/>
      </c>
      <c r="I373" s="12">
        <v>3086372338.1599998</v>
      </c>
    </row>
    <row r="374" spans="1:9" ht="30" x14ac:dyDescent="0.25">
      <c r="A374" s="9">
        <v>160</v>
      </c>
      <c r="B374" s="10">
        <v>44742</v>
      </c>
      <c r="C374" s="9">
        <v>9</v>
      </c>
      <c r="D374" s="9" t="str">
        <f>"5217"</f>
        <v>5217</v>
      </c>
      <c r="E374" s="1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374" s="9" t="str">
        <f>""</f>
        <v/>
      </c>
      <c r="G374" s="9" t="str">
        <f>""</f>
        <v/>
      </c>
      <c r="H374" s="9" t="str">
        <f>""</f>
        <v/>
      </c>
      <c r="I374" s="12">
        <v>1903053723.01</v>
      </c>
    </row>
    <row r="375" spans="1:9" ht="30" x14ac:dyDescent="0.25">
      <c r="A375" s="9">
        <v>370</v>
      </c>
      <c r="B375" s="10">
        <v>44742</v>
      </c>
      <c r="C375" s="9">
        <v>9</v>
      </c>
      <c r="D375" s="9" t="str">
        <f>"5218"</f>
        <v>5218</v>
      </c>
      <c r="E375" s="1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375" s="9" t="str">
        <f>""</f>
        <v/>
      </c>
      <c r="G375" s="9" t="str">
        <f>""</f>
        <v/>
      </c>
      <c r="H375" s="9" t="str">
        <f>""</f>
        <v/>
      </c>
      <c r="I375" s="12">
        <v>275618554.92000002</v>
      </c>
    </row>
    <row r="376" spans="1:9" ht="30" x14ac:dyDescent="0.25">
      <c r="A376" s="9">
        <v>217</v>
      </c>
      <c r="B376" s="10">
        <v>44742</v>
      </c>
      <c r="C376" s="9">
        <v>9</v>
      </c>
      <c r="D376" s="9" t="str">
        <f>"5219"</f>
        <v>5219</v>
      </c>
      <c r="E376" s="1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376" s="9" t="str">
        <f>""</f>
        <v/>
      </c>
      <c r="G376" s="9" t="str">
        <f>""</f>
        <v/>
      </c>
      <c r="H376" s="9" t="str">
        <f>""</f>
        <v/>
      </c>
      <c r="I376" s="12">
        <v>217818312.97</v>
      </c>
    </row>
    <row r="377" spans="1:9" ht="30" x14ac:dyDescent="0.25">
      <c r="A377" s="9">
        <v>29</v>
      </c>
      <c r="B377" s="10">
        <v>44742</v>
      </c>
      <c r="C377" s="9">
        <v>9</v>
      </c>
      <c r="D377" s="9" t="str">
        <f>"5220"</f>
        <v>5220</v>
      </c>
      <c r="E377" s="1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377" s="9" t="str">
        <f>""</f>
        <v/>
      </c>
      <c r="G377" s="9" t="str">
        <f>""</f>
        <v/>
      </c>
      <c r="H377" s="9" t="str">
        <f>""</f>
        <v/>
      </c>
      <c r="I377" s="12">
        <v>51436827.829999998</v>
      </c>
    </row>
    <row r="378" spans="1:9" ht="30" x14ac:dyDescent="0.25">
      <c r="A378" s="9">
        <v>145</v>
      </c>
      <c r="B378" s="10">
        <v>44742</v>
      </c>
      <c r="C378" s="9">
        <v>9</v>
      </c>
      <c r="D378" s="9" t="str">
        <f>"5223"</f>
        <v>5223</v>
      </c>
      <c r="E378" s="1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378" s="9" t="str">
        <f>""</f>
        <v/>
      </c>
      <c r="G378" s="9" t="str">
        <f>""</f>
        <v/>
      </c>
      <c r="H378" s="9" t="str">
        <f>""</f>
        <v/>
      </c>
      <c r="I378" s="12">
        <v>60039050.710000001</v>
      </c>
    </row>
    <row r="379" spans="1:9" x14ac:dyDescent="0.25">
      <c r="A379" s="9">
        <v>107</v>
      </c>
      <c r="B379" s="10">
        <v>44742</v>
      </c>
      <c r="C379" s="9">
        <v>9</v>
      </c>
      <c r="D379" s="9" t="str">
        <f>"5227"</f>
        <v>5227</v>
      </c>
      <c r="E379" s="11" t="str">
        <f>"Процентные расходы по обязательствам по аренде"</f>
        <v>Процентные расходы по обязательствам по аренде</v>
      </c>
      <c r="F379" s="9" t="str">
        <f>""</f>
        <v/>
      </c>
      <c r="G379" s="9" t="str">
        <f>""</f>
        <v/>
      </c>
      <c r="H379" s="9" t="str">
        <f>""</f>
        <v/>
      </c>
      <c r="I379" s="12">
        <v>249227239.34999999</v>
      </c>
    </row>
    <row r="380" spans="1:9" ht="45" x14ac:dyDescent="0.25">
      <c r="A380" s="9">
        <v>72</v>
      </c>
      <c r="B380" s="10">
        <v>44742</v>
      </c>
      <c r="C380" s="9">
        <v>9</v>
      </c>
      <c r="D380" s="9" t="str">
        <f>"5229"</f>
        <v>5229</v>
      </c>
      <c r="E380" s="11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380" s="9" t="str">
        <f>""</f>
        <v/>
      </c>
      <c r="G380" s="9" t="str">
        <f>""</f>
        <v/>
      </c>
      <c r="H380" s="9" t="str">
        <f>""</f>
        <v/>
      </c>
      <c r="I380" s="12">
        <v>772555.4</v>
      </c>
    </row>
    <row r="381" spans="1:9" ht="30" x14ac:dyDescent="0.25">
      <c r="A381" s="9">
        <v>444</v>
      </c>
      <c r="B381" s="10">
        <v>44742</v>
      </c>
      <c r="C381" s="9">
        <v>9</v>
      </c>
      <c r="D381" s="9" t="str">
        <f>"5233"</f>
        <v>5233</v>
      </c>
      <c r="E381" s="11" t="str">
        <f>"Расходы в виде положительной корректировки стоимости срочного вклада, привлеченного от клиентов"</f>
        <v>Расходы в виде положительной корректировки стоимости срочного вклада, привлеченного от клиентов</v>
      </c>
      <c r="F381" s="9" t="str">
        <f>""</f>
        <v/>
      </c>
      <c r="G381" s="9" t="str">
        <f>""</f>
        <v/>
      </c>
      <c r="H381" s="9" t="str">
        <f>""</f>
        <v/>
      </c>
      <c r="I381" s="12">
        <v>627920</v>
      </c>
    </row>
    <row r="382" spans="1:9" ht="30" x14ac:dyDescent="0.25">
      <c r="A382" s="9">
        <v>159</v>
      </c>
      <c r="B382" s="10">
        <v>44742</v>
      </c>
      <c r="C382" s="9">
        <v>9</v>
      </c>
      <c r="D382" s="9" t="str">
        <f>"5240"</f>
        <v>5240</v>
      </c>
      <c r="E382" s="11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382" s="9" t="str">
        <f>""</f>
        <v/>
      </c>
      <c r="G382" s="9" t="str">
        <f>""</f>
        <v/>
      </c>
      <c r="H382" s="9" t="str">
        <f>""</f>
        <v/>
      </c>
      <c r="I382" s="12">
        <v>5427271243.3800001</v>
      </c>
    </row>
    <row r="383" spans="1:9" ht="30" x14ac:dyDescent="0.25">
      <c r="A383" s="9">
        <v>298</v>
      </c>
      <c r="B383" s="10">
        <v>44742</v>
      </c>
      <c r="C383" s="9">
        <v>9</v>
      </c>
      <c r="D383" s="9" t="str">
        <f>"5250"</f>
        <v>5250</v>
      </c>
      <c r="E383" s="11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383" s="9" t="str">
        <f>""</f>
        <v/>
      </c>
      <c r="G383" s="9" t="str">
        <f>""</f>
        <v/>
      </c>
      <c r="H383" s="9" t="str">
        <f>""</f>
        <v/>
      </c>
      <c r="I383" s="12">
        <v>1028102956.1799999</v>
      </c>
    </row>
    <row r="384" spans="1:9" ht="30" x14ac:dyDescent="0.25">
      <c r="A384" s="9">
        <v>297</v>
      </c>
      <c r="B384" s="10">
        <v>44742</v>
      </c>
      <c r="C384" s="9">
        <v>9</v>
      </c>
      <c r="D384" s="9" t="str">
        <f>"5301"</f>
        <v>5301</v>
      </c>
      <c r="E384" s="1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384" s="9" t="str">
        <f>""</f>
        <v/>
      </c>
      <c r="G384" s="9" t="str">
        <f>""</f>
        <v/>
      </c>
      <c r="H384" s="9" t="str">
        <f>""</f>
        <v/>
      </c>
      <c r="I384" s="12">
        <v>242071510</v>
      </c>
    </row>
    <row r="385" spans="1:9" ht="45" x14ac:dyDescent="0.25">
      <c r="A385" s="9">
        <v>266</v>
      </c>
      <c r="B385" s="10">
        <v>44742</v>
      </c>
      <c r="C385" s="9">
        <v>9</v>
      </c>
      <c r="D385" s="9" t="str">
        <f>"5306"</f>
        <v>5306</v>
      </c>
      <c r="E385" s="1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385" s="9" t="str">
        <f>""</f>
        <v/>
      </c>
      <c r="G385" s="9" t="str">
        <f>""</f>
        <v/>
      </c>
      <c r="H385" s="9" t="str">
        <f>""</f>
        <v/>
      </c>
      <c r="I385" s="12">
        <v>6562330.0099999998</v>
      </c>
    </row>
    <row r="386" spans="1:9" ht="30" x14ac:dyDescent="0.25">
      <c r="A386" s="9">
        <v>122</v>
      </c>
      <c r="B386" s="10">
        <v>44742</v>
      </c>
      <c r="C386" s="9">
        <v>9</v>
      </c>
      <c r="D386" s="9" t="str">
        <f>"5308"</f>
        <v>5308</v>
      </c>
      <c r="E386" s="1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386" s="9" t="str">
        <f>""</f>
        <v/>
      </c>
      <c r="G386" s="9" t="str">
        <f>""</f>
        <v/>
      </c>
      <c r="H386" s="9" t="str">
        <f>""</f>
        <v/>
      </c>
      <c r="I386" s="12">
        <v>228504766.72</v>
      </c>
    </row>
    <row r="387" spans="1:9" ht="30" x14ac:dyDescent="0.25">
      <c r="A387" s="9">
        <v>238</v>
      </c>
      <c r="B387" s="10">
        <v>44742</v>
      </c>
      <c r="C387" s="9">
        <v>9</v>
      </c>
      <c r="D387" s="9" t="str">
        <f>"5451"</f>
        <v>5451</v>
      </c>
      <c r="E387" s="1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387" s="9" t="str">
        <f>""</f>
        <v/>
      </c>
      <c r="G387" s="9" t="str">
        <f>""</f>
        <v/>
      </c>
      <c r="H387" s="9" t="str">
        <f>""</f>
        <v/>
      </c>
      <c r="I387" s="12">
        <v>305715.90000000002</v>
      </c>
    </row>
    <row r="388" spans="1:9" ht="30" x14ac:dyDescent="0.25">
      <c r="A388" s="9">
        <v>356</v>
      </c>
      <c r="B388" s="10">
        <v>44742</v>
      </c>
      <c r="C388" s="9">
        <v>9</v>
      </c>
      <c r="D388" s="9" t="str">
        <f>"5452"</f>
        <v>5452</v>
      </c>
      <c r="E388" s="11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388" s="9" t="str">
        <f>""</f>
        <v/>
      </c>
      <c r="G388" s="9" t="str">
        <f>""</f>
        <v/>
      </c>
      <c r="H388" s="9" t="str">
        <f>""</f>
        <v/>
      </c>
      <c r="I388" s="12">
        <v>15471955.449999999</v>
      </c>
    </row>
    <row r="389" spans="1:9" ht="30" x14ac:dyDescent="0.25">
      <c r="A389" s="9">
        <v>332</v>
      </c>
      <c r="B389" s="10">
        <v>44742</v>
      </c>
      <c r="C389" s="9">
        <v>9</v>
      </c>
      <c r="D389" s="9" t="str">
        <f>"5453"</f>
        <v>5453</v>
      </c>
      <c r="E389" s="1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389" s="9" t="str">
        <f>""</f>
        <v/>
      </c>
      <c r="G389" s="9" t="str">
        <f>""</f>
        <v/>
      </c>
      <c r="H389" s="9" t="str">
        <f>""</f>
        <v/>
      </c>
      <c r="I389" s="12">
        <v>940990276.82000005</v>
      </c>
    </row>
    <row r="390" spans="1:9" ht="30" x14ac:dyDescent="0.25">
      <c r="A390" s="9">
        <v>421</v>
      </c>
      <c r="B390" s="10">
        <v>44742</v>
      </c>
      <c r="C390" s="9">
        <v>9</v>
      </c>
      <c r="D390" s="9" t="str">
        <f>"5455"</f>
        <v>5455</v>
      </c>
      <c r="E390" s="1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390" s="9" t="str">
        <f>""</f>
        <v/>
      </c>
      <c r="G390" s="9" t="str">
        <f>""</f>
        <v/>
      </c>
      <c r="H390" s="9" t="str">
        <f>""</f>
        <v/>
      </c>
      <c r="I390" s="12">
        <v>21230286297.169998</v>
      </c>
    </row>
    <row r="391" spans="1:9" ht="45" x14ac:dyDescent="0.25">
      <c r="A391" s="9">
        <v>400</v>
      </c>
      <c r="B391" s="10">
        <v>44742</v>
      </c>
      <c r="C391" s="9">
        <v>9</v>
      </c>
      <c r="D391" s="9" t="str">
        <f>"5456"</f>
        <v>5456</v>
      </c>
      <c r="E391" s="1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391" s="9" t="str">
        <f>""</f>
        <v/>
      </c>
      <c r="G391" s="9" t="str">
        <f>""</f>
        <v/>
      </c>
      <c r="H391" s="9" t="str">
        <f>""</f>
        <v/>
      </c>
      <c r="I391" s="12">
        <v>289980773.74000001</v>
      </c>
    </row>
    <row r="392" spans="1:9" ht="30" x14ac:dyDescent="0.25">
      <c r="A392" s="9">
        <v>398</v>
      </c>
      <c r="B392" s="10">
        <v>44742</v>
      </c>
      <c r="C392" s="9">
        <v>9</v>
      </c>
      <c r="D392" s="9" t="str">
        <f>"5457"</f>
        <v>5457</v>
      </c>
      <c r="E392" s="1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392" s="9" t="str">
        <f>""</f>
        <v/>
      </c>
      <c r="G392" s="9" t="str">
        <f>""</f>
        <v/>
      </c>
      <c r="H392" s="9" t="str">
        <f>""</f>
        <v/>
      </c>
      <c r="I392" s="12">
        <v>414136639.73000002</v>
      </c>
    </row>
    <row r="393" spans="1:9" ht="30" x14ac:dyDescent="0.25">
      <c r="A393" s="9">
        <v>319</v>
      </c>
      <c r="B393" s="10">
        <v>44742</v>
      </c>
      <c r="C393" s="9">
        <v>9</v>
      </c>
      <c r="D393" s="9" t="str">
        <f>"5459"</f>
        <v>5459</v>
      </c>
      <c r="E393" s="1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393" s="9" t="str">
        <f>""</f>
        <v/>
      </c>
      <c r="G393" s="9" t="str">
        <f>""</f>
        <v/>
      </c>
      <c r="H393" s="9" t="str">
        <f>""</f>
        <v/>
      </c>
      <c r="I393" s="12">
        <v>140680539.11000001</v>
      </c>
    </row>
    <row r="394" spans="1:9" ht="45" x14ac:dyDescent="0.25">
      <c r="A394" s="9">
        <v>293</v>
      </c>
      <c r="B394" s="10">
        <v>44742</v>
      </c>
      <c r="C394" s="9">
        <v>9</v>
      </c>
      <c r="D394" s="9" t="str">
        <f>"5461"</f>
        <v>5461</v>
      </c>
      <c r="E394" s="11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394" s="9" t="str">
        <f>""</f>
        <v/>
      </c>
      <c r="G394" s="9" t="str">
        <f>""</f>
        <v/>
      </c>
      <c r="H394" s="9" t="str">
        <f>""</f>
        <v/>
      </c>
      <c r="I394" s="12">
        <v>159352239.52000001</v>
      </c>
    </row>
    <row r="395" spans="1:9" ht="30" x14ac:dyDescent="0.25">
      <c r="A395" s="9">
        <v>299</v>
      </c>
      <c r="B395" s="10">
        <v>44742</v>
      </c>
      <c r="C395" s="9">
        <v>9</v>
      </c>
      <c r="D395" s="9" t="str">
        <f>"5464"</f>
        <v>5464</v>
      </c>
      <c r="E395" s="1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395" s="9" t="str">
        <f>""</f>
        <v/>
      </c>
      <c r="G395" s="9" t="str">
        <f>""</f>
        <v/>
      </c>
      <c r="H395" s="9" t="str">
        <f>""</f>
        <v/>
      </c>
      <c r="I395" s="12">
        <v>3451.8</v>
      </c>
    </row>
    <row r="396" spans="1:9" ht="30" x14ac:dyDescent="0.25">
      <c r="A396" s="9">
        <v>199</v>
      </c>
      <c r="B396" s="10">
        <v>44742</v>
      </c>
      <c r="C396" s="9">
        <v>9</v>
      </c>
      <c r="D396" s="9" t="str">
        <f>"5465"</f>
        <v>5465</v>
      </c>
      <c r="E396" s="1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396" s="9" t="str">
        <f>""</f>
        <v/>
      </c>
      <c r="G396" s="9" t="str">
        <f>""</f>
        <v/>
      </c>
      <c r="H396" s="9" t="str">
        <f>""</f>
        <v/>
      </c>
      <c r="I396" s="12">
        <v>228310764.5</v>
      </c>
    </row>
    <row r="397" spans="1:9" x14ac:dyDescent="0.25">
      <c r="A397" s="9">
        <v>73</v>
      </c>
      <c r="B397" s="10">
        <v>44742</v>
      </c>
      <c r="C397" s="9">
        <v>9</v>
      </c>
      <c r="D397" s="9" t="str">
        <f>"5510"</f>
        <v>5510</v>
      </c>
      <c r="E397" s="11" t="str">
        <f>"Расходы по купле-продаже ценных бумаг"</f>
        <v>Расходы по купле-продаже ценных бумаг</v>
      </c>
      <c r="F397" s="9" t="str">
        <f>""</f>
        <v/>
      </c>
      <c r="G397" s="9" t="str">
        <f>""</f>
        <v/>
      </c>
      <c r="H397" s="9" t="str">
        <f>""</f>
        <v/>
      </c>
      <c r="I397" s="12">
        <v>1274685015.1500001</v>
      </c>
    </row>
    <row r="398" spans="1:9" x14ac:dyDescent="0.25">
      <c r="A398" s="9">
        <v>76</v>
      </c>
      <c r="B398" s="10">
        <v>44742</v>
      </c>
      <c r="C398" s="9">
        <v>9</v>
      </c>
      <c r="D398" s="9" t="str">
        <f>"5530"</f>
        <v>5530</v>
      </c>
      <c r="E398" s="11" t="str">
        <f>"Расходы по купле-продаже иностранной валюты"</f>
        <v>Расходы по купле-продаже иностранной валюты</v>
      </c>
      <c r="F398" s="9" t="str">
        <f>""</f>
        <v/>
      </c>
      <c r="G398" s="9" t="str">
        <f>""</f>
        <v/>
      </c>
      <c r="H398" s="9" t="str">
        <f>""</f>
        <v/>
      </c>
      <c r="I398" s="12">
        <v>14741314348.23</v>
      </c>
    </row>
    <row r="399" spans="1:9" ht="30" x14ac:dyDescent="0.25">
      <c r="A399" s="9">
        <v>300</v>
      </c>
      <c r="B399" s="10">
        <v>44742</v>
      </c>
      <c r="C399" s="9">
        <v>9</v>
      </c>
      <c r="D399" s="9" t="str">
        <f>"5570"</f>
        <v>5570</v>
      </c>
      <c r="E399" s="1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399" s="9" t="str">
        <f>""</f>
        <v/>
      </c>
      <c r="G399" s="9" t="str">
        <f>""</f>
        <v/>
      </c>
      <c r="H399" s="9" t="str">
        <f>""</f>
        <v/>
      </c>
      <c r="I399" s="12">
        <v>11569874.859999999</v>
      </c>
    </row>
    <row r="400" spans="1:9" ht="30" x14ac:dyDescent="0.25">
      <c r="A400" s="9">
        <v>239</v>
      </c>
      <c r="B400" s="10">
        <v>44742</v>
      </c>
      <c r="C400" s="9">
        <v>9</v>
      </c>
      <c r="D400" s="9" t="str">
        <f>"5601"</f>
        <v>5601</v>
      </c>
      <c r="E400" s="1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00" s="9" t="str">
        <f>""</f>
        <v/>
      </c>
      <c r="G400" s="9" t="str">
        <f>""</f>
        <v/>
      </c>
      <c r="H400" s="9" t="str">
        <f>""</f>
        <v/>
      </c>
      <c r="I400" s="12">
        <v>178837109.78</v>
      </c>
    </row>
    <row r="401" spans="1:9" x14ac:dyDescent="0.25">
      <c r="A401" s="9">
        <v>261</v>
      </c>
      <c r="B401" s="10">
        <v>44742</v>
      </c>
      <c r="C401" s="9">
        <v>9</v>
      </c>
      <c r="D401" s="9" t="str">
        <f>"5602"</f>
        <v>5602</v>
      </c>
      <c r="E401" s="11" t="str">
        <f>"Комиссионные расходы по полученным агентским услугам"</f>
        <v>Комиссионные расходы по полученным агентским услугам</v>
      </c>
      <c r="F401" s="9" t="str">
        <f>""</f>
        <v/>
      </c>
      <c r="G401" s="9" t="str">
        <f>""</f>
        <v/>
      </c>
      <c r="H401" s="9" t="str">
        <f>""</f>
        <v/>
      </c>
      <c r="I401" s="12">
        <v>855664784.13999999</v>
      </c>
    </row>
    <row r="402" spans="1:9" ht="30" x14ac:dyDescent="0.25">
      <c r="A402" s="9">
        <v>77</v>
      </c>
      <c r="B402" s="10">
        <v>44742</v>
      </c>
      <c r="C402" s="9">
        <v>9</v>
      </c>
      <c r="D402" s="9" t="str">
        <f>"5603"</f>
        <v>5603</v>
      </c>
      <c r="E402" s="1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402" s="9" t="str">
        <f>""</f>
        <v/>
      </c>
      <c r="G402" s="9" t="str">
        <f>""</f>
        <v/>
      </c>
      <c r="H402" s="9" t="str">
        <f>""</f>
        <v/>
      </c>
      <c r="I402" s="12">
        <v>4775400</v>
      </c>
    </row>
    <row r="403" spans="1:9" ht="30" x14ac:dyDescent="0.25">
      <c r="A403" s="9">
        <v>146</v>
      </c>
      <c r="B403" s="10">
        <v>44742</v>
      </c>
      <c r="C403" s="9">
        <v>9</v>
      </c>
      <c r="D403" s="9" t="str">
        <f>"5604"</f>
        <v>5604</v>
      </c>
      <c r="E403" s="11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403" s="9" t="str">
        <f>""</f>
        <v/>
      </c>
      <c r="G403" s="9" t="str">
        <f>""</f>
        <v/>
      </c>
      <c r="H403" s="9" t="str">
        <f>""</f>
        <v/>
      </c>
      <c r="I403" s="12">
        <v>48548899</v>
      </c>
    </row>
    <row r="404" spans="1:9" x14ac:dyDescent="0.25">
      <c r="A404" s="9">
        <v>30</v>
      </c>
      <c r="B404" s="10">
        <v>44742</v>
      </c>
      <c r="C404" s="9">
        <v>9</v>
      </c>
      <c r="D404" s="9" t="str">
        <f>"5606"</f>
        <v>5606</v>
      </c>
      <c r="E404" s="11" t="str">
        <f>"Комиссионные расходы по полученным услугам по гарантиям"</f>
        <v>Комиссионные расходы по полученным услугам по гарантиям</v>
      </c>
      <c r="F404" s="9" t="str">
        <f>""</f>
        <v/>
      </c>
      <c r="G404" s="9" t="str">
        <f>""</f>
        <v/>
      </c>
      <c r="H404" s="9" t="str">
        <f>""</f>
        <v/>
      </c>
      <c r="I404" s="12">
        <v>6306538.6200000001</v>
      </c>
    </row>
    <row r="405" spans="1:9" ht="30" x14ac:dyDescent="0.25">
      <c r="A405" s="9">
        <v>206</v>
      </c>
      <c r="B405" s="10">
        <v>44742</v>
      </c>
      <c r="C405" s="9">
        <v>9</v>
      </c>
      <c r="D405" s="9" t="str">
        <f>"5607"</f>
        <v>5607</v>
      </c>
      <c r="E405" s="1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405" s="9" t="str">
        <f>""</f>
        <v/>
      </c>
      <c r="G405" s="9" t="str">
        <f>""</f>
        <v/>
      </c>
      <c r="H405" s="9" t="str">
        <f>""</f>
        <v/>
      </c>
      <c r="I405" s="12">
        <v>2853674.19</v>
      </c>
    </row>
    <row r="406" spans="1:9" x14ac:dyDescent="0.25">
      <c r="A406" s="9">
        <v>31</v>
      </c>
      <c r="B406" s="10">
        <v>44742</v>
      </c>
      <c r="C406" s="9">
        <v>9</v>
      </c>
      <c r="D406" s="9" t="str">
        <f>"5608"</f>
        <v>5608</v>
      </c>
      <c r="E406" s="11" t="str">
        <f>"Прочие комиссионные расходы"</f>
        <v>Прочие комиссионные расходы</v>
      </c>
      <c r="F406" s="9" t="str">
        <f>""</f>
        <v/>
      </c>
      <c r="G406" s="9" t="str">
        <f>""</f>
        <v/>
      </c>
      <c r="H406" s="9" t="str">
        <f>""</f>
        <v/>
      </c>
      <c r="I406" s="12">
        <v>2209143361.9299998</v>
      </c>
    </row>
    <row r="407" spans="1:9" ht="30" x14ac:dyDescent="0.25">
      <c r="A407" s="9">
        <v>32</v>
      </c>
      <c r="B407" s="10">
        <v>44742</v>
      </c>
      <c r="C407" s="9">
        <v>9</v>
      </c>
      <c r="D407" s="9" t="str">
        <f>"5609"</f>
        <v>5609</v>
      </c>
      <c r="E407" s="1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07" s="9" t="str">
        <f>""</f>
        <v/>
      </c>
      <c r="G407" s="9" t="str">
        <f>""</f>
        <v/>
      </c>
      <c r="H407" s="9" t="str">
        <f>""</f>
        <v/>
      </c>
      <c r="I407" s="12">
        <v>18103645.43</v>
      </c>
    </row>
    <row r="408" spans="1:9" x14ac:dyDescent="0.25">
      <c r="A408" s="9">
        <v>108</v>
      </c>
      <c r="B408" s="10">
        <v>44742</v>
      </c>
      <c r="C408" s="9">
        <v>9</v>
      </c>
      <c r="D408" s="9" t="str">
        <f>"5610"</f>
        <v>5610</v>
      </c>
      <c r="E408" s="11" t="str">
        <f>"Комиссионные расходы по документарным расчетам"</f>
        <v>Комиссионные расходы по документарным расчетам</v>
      </c>
      <c r="F408" s="9" t="str">
        <f>""</f>
        <v/>
      </c>
      <c r="G408" s="9" t="str">
        <f>""</f>
        <v/>
      </c>
      <c r="H408" s="9" t="str">
        <f>""</f>
        <v/>
      </c>
      <c r="I408" s="12">
        <v>391126.21</v>
      </c>
    </row>
    <row r="409" spans="1:9" x14ac:dyDescent="0.25">
      <c r="A409" s="9">
        <v>218</v>
      </c>
      <c r="B409" s="10">
        <v>44742</v>
      </c>
      <c r="C409" s="9">
        <v>9</v>
      </c>
      <c r="D409" s="9" t="str">
        <f>"5611"</f>
        <v>5611</v>
      </c>
      <c r="E409" s="11" t="str">
        <f>"Комиссионные расходы за услуги по кассовым операциям"</f>
        <v>Комиссионные расходы за услуги по кассовым операциям</v>
      </c>
      <c r="F409" s="9" t="str">
        <f>""</f>
        <v/>
      </c>
      <c r="G409" s="9" t="str">
        <f>""</f>
        <v/>
      </c>
      <c r="H409" s="9" t="str">
        <f>""</f>
        <v/>
      </c>
      <c r="I409" s="12">
        <v>748623.56</v>
      </c>
    </row>
    <row r="410" spans="1:9" x14ac:dyDescent="0.25">
      <c r="A410" s="9">
        <v>371</v>
      </c>
      <c r="B410" s="10">
        <v>44742</v>
      </c>
      <c r="C410" s="9">
        <v>9</v>
      </c>
      <c r="D410" s="9" t="str">
        <f>"5703"</f>
        <v>5703</v>
      </c>
      <c r="E410" s="11" t="str">
        <f>"Расходы от переоценки иностранной валюты"</f>
        <v>Расходы от переоценки иностранной валюты</v>
      </c>
      <c r="F410" s="9" t="str">
        <f>""</f>
        <v/>
      </c>
      <c r="G410" s="9" t="str">
        <f>""</f>
        <v/>
      </c>
      <c r="H410" s="9" t="str">
        <f>""</f>
        <v/>
      </c>
      <c r="I410" s="12">
        <v>26135448726.630001</v>
      </c>
    </row>
    <row r="411" spans="1:9" x14ac:dyDescent="0.25">
      <c r="A411" s="9">
        <v>179</v>
      </c>
      <c r="B411" s="10">
        <v>44742</v>
      </c>
      <c r="C411" s="9">
        <v>9</v>
      </c>
      <c r="D411" s="9" t="str">
        <f>"5721"</f>
        <v>5721</v>
      </c>
      <c r="E411" s="11" t="str">
        <f>"Расходы по оплате труда"</f>
        <v>Расходы по оплате труда</v>
      </c>
      <c r="F411" s="9" t="str">
        <f>""</f>
        <v/>
      </c>
      <c r="G411" s="9" t="str">
        <f>""</f>
        <v/>
      </c>
      <c r="H411" s="9" t="str">
        <f>""</f>
        <v/>
      </c>
      <c r="I411" s="12">
        <v>23649853353</v>
      </c>
    </row>
    <row r="412" spans="1:9" x14ac:dyDescent="0.25">
      <c r="A412" s="9">
        <v>148</v>
      </c>
      <c r="B412" s="10">
        <v>44742</v>
      </c>
      <c r="C412" s="9">
        <v>9</v>
      </c>
      <c r="D412" s="9" t="str">
        <f>"5722"</f>
        <v>5722</v>
      </c>
      <c r="E412" s="11" t="str">
        <f>"Социальные отчисления"</f>
        <v>Социальные отчисления</v>
      </c>
      <c r="F412" s="9" t="str">
        <f>""</f>
        <v/>
      </c>
      <c r="G412" s="9" t="str">
        <f>""</f>
        <v/>
      </c>
      <c r="H412" s="9" t="str">
        <f>""</f>
        <v/>
      </c>
      <c r="I412" s="12">
        <v>417897739</v>
      </c>
    </row>
    <row r="413" spans="1:9" x14ac:dyDescent="0.25">
      <c r="A413" s="9">
        <v>197</v>
      </c>
      <c r="B413" s="10">
        <v>44742</v>
      </c>
      <c r="C413" s="9">
        <v>9</v>
      </c>
      <c r="D413" s="9" t="str">
        <f>"5729"</f>
        <v>5729</v>
      </c>
      <c r="E413" s="11" t="str">
        <f>"Прочие выплаты"</f>
        <v>Прочие выплаты</v>
      </c>
      <c r="F413" s="9" t="str">
        <f>""</f>
        <v/>
      </c>
      <c r="G413" s="9" t="str">
        <f>""</f>
        <v/>
      </c>
      <c r="H413" s="9" t="str">
        <f>""</f>
        <v/>
      </c>
      <c r="I413" s="12">
        <v>182949575.53999999</v>
      </c>
    </row>
    <row r="414" spans="1:9" ht="30" x14ac:dyDescent="0.25">
      <c r="A414" s="9">
        <v>333</v>
      </c>
      <c r="B414" s="10">
        <v>44742</v>
      </c>
      <c r="C414" s="9">
        <v>9</v>
      </c>
      <c r="D414" s="9" t="str">
        <f>"5733"</f>
        <v>5733</v>
      </c>
      <c r="E414" s="1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414" s="9" t="str">
        <f>""</f>
        <v/>
      </c>
      <c r="G414" s="9" t="str">
        <f>""</f>
        <v/>
      </c>
      <c r="H414" s="9" t="str">
        <f>""</f>
        <v/>
      </c>
      <c r="I414" s="12">
        <v>316606298.89999998</v>
      </c>
    </row>
    <row r="415" spans="1:9" x14ac:dyDescent="0.25">
      <c r="A415" s="9">
        <v>198</v>
      </c>
      <c r="B415" s="10">
        <v>44742</v>
      </c>
      <c r="C415" s="9">
        <v>9</v>
      </c>
      <c r="D415" s="9" t="str">
        <f>"5734"</f>
        <v>5734</v>
      </c>
      <c r="E415" s="11" t="str">
        <f>"Расходы от прочей переоценки"</f>
        <v>Расходы от прочей переоценки</v>
      </c>
      <c r="F415" s="9" t="str">
        <f>""</f>
        <v/>
      </c>
      <c r="G415" s="9" t="str">
        <f>""</f>
        <v/>
      </c>
      <c r="H415" s="9" t="str">
        <f>""</f>
        <v/>
      </c>
      <c r="I415" s="12">
        <v>1664719.59</v>
      </c>
    </row>
    <row r="416" spans="1:9" x14ac:dyDescent="0.25">
      <c r="A416" s="9">
        <v>35</v>
      </c>
      <c r="B416" s="10">
        <v>44742</v>
      </c>
      <c r="C416" s="9">
        <v>9</v>
      </c>
      <c r="D416" s="9" t="str">
        <f>"5741"</f>
        <v>5741</v>
      </c>
      <c r="E416" s="11" t="str">
        <f>"Транспортные расходы"</f>
        <v>Транспортные расходы</v>
      </c>
      <c r="F416" s="9" t="str">
        <f>""</f>
        <v/>
      </c>
      <c r="G416" s="9" t="str">
        <f>""</f>
        <v/>
      </c>
      <c r="H416" s="9" t="str">
        <f>""</f>
        <v/>
      </c>
      <c r="I416" s="12">
        <v>120392580.01000001</v>
      </c>
    </row>
    <row r="417" spans="1:9" x14ac:dyDescent="0.25">
      <c r="A417" s="9">
        <v>149</v>
      </c>
      <c r="B417" s="10">
        <v>44742</v>
      </c>
      <c r="C417" s="9">
        <v>9</v>
      </c>
      <c r="D417" s="9" t="str">
        <f>"5742"</f>
        <v>5742</v>
      </c>
      <c r="E417" s="11" t="str">
        <f>"Административные расходы"</f>
        <v>Административные расходы</v>
      </c>
      <c r="F417" s="9" t="str">
        <f>""</f>
        <v/>
      </c>
      <c r="G417" s="9" t="str">
        <f>""</f>
        <v/>
      </c>
      <c r="H417" s="9" t="str">
        <f>""</f>
        <v/>
      </c>
      <c r="I417" s="12">
        <v>1719892851.0799999</v>
      </c>
    </row>
    <row r="418" spans="1:9" x14ac:dyDescent="0.25">
      <c r="A418" s="9">
        <v>310</v>
      </c>
      <c r="B418" s="10">
        <v>44742</v>
      </c>
      <c r="C418" s="9">
        <v>9</v>
      </c>
      <c r="D418" s="9" t="str">
        <f>"5743"</f>
        <v>5743</v>
      </c>
      <c r="E418" s="11" t="str">
        <f>"Расходы на инкассацию"</f>
        <v>Расходы на инкассацию</v>
      </c>
      <c r="F418" s="9" t="str">
        <f>""</f>
        <v/>
      </c>
      <c r="G418" s="9" t="str">
        <f>""</f>
        <v/>
      </c>
      <c r="H418" s="9" t="str">
        <f>""</f>
        <v/>
      </c>
      <c r="I418" s="12">
        <v>94351534.879999995</v>
      </c>
    </row>
    <row r="419" spans="1:9" x14ac:dyDescent="0.25">
      <c r="A419" s="9">
        <v>219</v>
      </c>
      <c r="B419" s="10">
        <v>44742</v>
      </c>
      <c r="C419" s="9">
        <v>9</v>
      </c>
      <c r="D419" s="9" t="str">
        <f>"5744"</f>
        <v>5744</v>
      </c>
      <c r="E419" s="11" t="str">
        <f>"Расходы на ремонт"</f>
        <v>Расходы на ремонт</v>
      </c>
      <c r="F419" s="9" t="str">
        <f>""</f>
        <v/>
      </c>
      <c r="G419" s="9" t="str">
        <f>""</f>
        <v/>
      </c>
      <c r="H419" s="9" t="str">
        <f>""</f>
        <v/>
      </c>
      <c r="I419" s="12">
        <v>38727290.850000001</v>
      </c>
    </row>
    <row r="420" spans="1:9" x14ac:dyDescent="0.25">
      <c r="A420" s="9">
        <v>123</v>
      </c>
      <c r="B420" s="10">
        <v>44742</v>
      </c>
      <c r="C420" s="9">
        <v>9</v>
      </c>
      <c r="D420" s="9" t="str">
        <f>"5745"</f>
        <v>5745</v>
      </c>
      <c r="E420" s="11" t="str">
        <f>"Расходы на рекламу"</f>
        <v>Расходы на рекламу</v>
      </c>
      <c r="F420" s="9" t="str">
        <f>""</f>
        <v/>
      </c>
      <c r="G420" s="9" t="str">
        <f>""</f>
        <v/>
      </c>
      <c r="H420" s="9" t="str">
        <f>""</f>
        <v/>
      </c>
      <c r="I420" s="12">
        <v>217609210.13</v>
      </c>
    </row>
    <row r="421" spans="1:9" x14ac:dyDescent="0.25">
      <c r="A421" s="9">
        <v>423</v>
      </c>
      <c r="B421" s="10">
        <v>44742</v>
      </c>
      <c r="C421" s="9">
        <v>9</v>
      </c>
      <c r="D421" s="9" t="str">
        <f>"5746"</f>
        <v>5746</v>
      </c>
      <c r="E421" s="11" t="str">
        <f>"Расходы на охрану и сигнализацию"</f>
        <v>Расходы на охрану и сигнализацию</v>
      </c>
      <c r="F421" s="9" t="str">
        <f>""</f>
        <v/>
      </c>
      <c r="G421" s="9" t="str">
        <f>""</f>
        <v/>
      </c>
      <c r="H421" s="9" t="str">
        <f>""</f>
        <v/>
      </c>
      <c r="I421" s="12">
        <v>195933754.69999999</v>
      </c>
    </row>
    <row r="422" spans="1:9" x14ac:dyDescent="0.25">
      <c r="A422" s="9">
        <v>79</v>
      </c>
      <c r="B422" s="10">
        <v>44742</v>
      </c>
      <c r="C422" s="9">
        <v>9</v>
      </c>
      <c r="D422" s="9" t="str">
        <f>"5747"</f>
        <v>5747</v>
      </c>
      <c r="E422" s="11" t="str">
        <f>"Представительские расходы"</f>
        <v>Представительские расходы</v>
      </c>
      <c r="F422" s="9" t="str">
        <f>""</f>
        <v/>
      </c>
      <c r="G422" s="9" t="str">
        <f>""</f>
        <v/>
      </c>
      <c r="H422" s="9" t="str">
        <f>""</f>
        <v/>
      </c>
      <c r="I422" s="12">
        <v>28542043.600000001</v>
      </c>
    </row>
    <row r="423" spans="1:9" x14ac:dyDescent="0.25">
      <c r="A423" s="9">
        <v>147</v>
      </c>
      <c r="B423" s="10">
        <v>44742</v>
      </c>
      <c r="C423" s="9">
        <v>9</v>
      </c>
      <c r="D423" s="9" t="str">
        <f>"5748"</f>
        <v>5748</v>
      </c>
      <c r="E423" s="11" t="str">
        <f>"Прочие общехозяйственные расходы"</f>
        <v>Прочие общехозяйственные расходы</v>
      </c>
      <c r="F423" s="9" t="str">
        <f>""</f>
        <v/>
      </c>
      <c r="G423" s="9" t="str">
        <f>""</f>
        <v/>
      </c>
      <c r="H423" s="9" t="str">
        <f>""</f>
        <v/>
      </c>
      <c r="I423" s="12">
        <v>167380245.96000001</v>
      </c>
    </row>
    <row r="424" spans="1:9" x14ac:dyDescent="0.25">
      <c r="A424" s="9">
        <v>109</v>
      </c>
      <c r="B424" s="10">
        <v>44742</v>
      </c>
      <c r="C424" s="9">
        <v>9</v>
      </c>
      <c r="D424" s="9" t="str">
        <f>"5749"</f>
        <v>5749</v>
      </c>
      <c r="E424" s="11" t="str">
        <f>"Расходы на служебные командировки"</f>
        <v>Расходы на служебные командировки</v>
      </c>
      <c r="F424" s="9" t="str">
        <f>""</f>
        <v/>
      </c>
      <c r="G424" s="9" t="str">
        <f>""</f>
        <v/>
      </c>
      <c r="H424" s="9" t="str">
        <f>""</f>
        <v/>
      </c>
      <c r="I424" s="12">
        <v>292164190.60000002</v>
      </c>
    </row>
    <row r="425" spans="1:9" x14ac:dyDescent="0.25">
      <c r="A425" s="9">
        <v>240</v>
      </c>
      <c r="B425" s="10">
        <v>44742</v>
      </c>
      <c r="C425" s="9">
        <v>9</v>
      </c>
      <c r="D425" s="9" t="str">
        <f>"5750"</f>
        <v>5750</v>
      </c>
      <c r="E425" s="11" t="str">
        <f>"Расходы по аудиту и консультационным услугам"</f>
        <v>Расходы по аудиту и консультационным услугам</v>
      </c>
      <c r="F425" s="9" t="str">
        <f>""</f>
        <v/>
      </c>
      <c r="G425" s="9" t="str">
        <f>""</f>
        <v/>
      </c>
      <c r="H425" s="9" t="str">
        <f>""</f>
        <v/>
      </c>
      <c r="I425" s="12">
        <v>1578808690.77</v>
      </c>
    </row>
    <row r="426" spans="1:9" x14ac:dyDescent="0.25">
      <c r="A426" s="9">
        <v>252</v>
      </c>
      <c r="B426" s="10">
        <v>44742</v>
      </c>
      <c r="C426" s="9">
        <v>9</v>
      </c>
      <c r="D426" s="9" t="str">
        <f>"5752"</f>
        <v>5752</v>
      </c>
      <c r="E426" s="11" t="str">
        <f>"Расходы по страхованию"</f>
        <v>Расходы по страхованию</v>
      </c>
      <c r="F426" s="9" t="str">
        <f>""</f>
        <v/>
      </c>
      <c r="G426" s="9" t="str">
        <f>""</f>
        <v/>
      </c>
      <c r="H426" s="9" t="str">
        <f>""</f>
        <v/>
      </c>
      <c r="I426" s="12">
        <v>47306130.490000002</v>
      </c>
    </row>
    <row r="427" spans="1:9" x14ac:dyDescent="0.25">
      <c r="A427" s="9">
        <v>178</v>
      </c>
      <c r="B427" s="10">
        <v>44742</v>
      </c>
      <c r="C427" s="9">
        <v>9</v>
      </c>
      <c r="D427" s="9" t="str">
        <f>"5753"</f>
        <v>5753</v>
      </c>
      <c r="E427" s="11" t="str">
        <f>"Расходы по услугам связи"</f>
        <v>Расходы по услугам связи</v>
      </c>
      <c r="F427" s="9" t="str">
        <f>""</f>
        <v/>
      </c>
      <c r="G427" s="9" t="str">
        <f>""</f>
        <v/>
      </c>
      <c r="H427" s="9" t="str">
        <f>""</f>
        <v/>
      </c>
      <c r="I427" s="12">
        <v>873936267.10000002</v>
      </c>
    </row>
    <row r="428" spans="1:9" ht="30" x14ac:dyDescent="0.25">
      <c r="A428" s="9">
        <v>422</v>
      </c>
      <c r="B428" s="10">
        <v>44742</v>
      </c>
      <c r="C428" s="9">
        <v>9</v>
      </c>
      <c r="D428" s="9" t="str">
        <f>"5754"</f>
        <v>5754</v>
      </c>
      <c r="E428" s="1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428" s="9" t="str">
        <f>""</f>
        <v/>
      </c>
      <c r="G428" s="9" t="str">
        <f>""</f>
        <v/>
      </c>
      <c r="H428" s="9" t="str">
        <f>""</f>
        <v/>
      </c>
      <c r="I428" s="12">
        <v>631998872</v>
      </c>
    </row>
    <row r="429" spans="1:9" x14ac:dyDescent="0.25">
      <c r="A429" s="9">
        <v>33</v>
      </c>
      <c r="B429" s="10">
        <v>44742</v>
      </c>
      <c r="C429" s="9">
        <v>9</v>
      </c>
      <c r="D429" s="9" t="str">
        <f>"5761"</f>
        <v>5761</v>
      </c>
      <c r="E429" s="11" t="str">
        <f>"Налог на добавленную стоимость"</f>
        <v>Налог на добавленную стоимость</v>
      </c>
      <c r="F429" s="9" t="str">
        <f>""</f>
        <v/>
      </c>
      <c r="G429" s="9" t="str">
        <f>""</f>
        <v/>
      </c>
      <c r="H429" s="9" t="str">
        <f>""</f>
        <v/>
      </c>
      <c r="I429" s="12">
        <v>647997007.96000004</v>
      </c>
    </row>
    <row r="430" spans="1:9" x14ac:dyDescent="0.25">
      <c r="A430" s="9">
        <v>180</v>
      </c>
      <c r="B430" s="10">
        <v>44742</v>
      </c>
      <c r="C430" s="9">
        <v>9</v>
      </c>
      <c r="D430" s="9" t="str">
        <f>"5763"</f>
        <v>5763</v>
      </c>
      <c r="E430" s="11" t="str">
        <f>"Социальный налог"</f>
        <v>Социальный налог</v>
      </c>
      <c r="F430" s="9" t="str">
        <f>""</f>
        <v/>
      </c>
      <c r="G430" s="9" t="str">
        <f>""</f>
        <v/>
      </c>
      <c r="H430" s="9" t="str">
        <f>""</f>
        <v/>
      </c>
      <c r="I430" s="12">
        <v>1867549469</v>
      </c>
    </row>
    <row r="431" spans="1:9" x14ac:dyDescent="0.25">
      <c r="A431" s="9">
        <v>301</v>
      </c>
      <c r="B431" s="10">
        <v>44742</v>
      </c>
      <c r="C431" s="9">
        <v>9</v>
      </c>
      <c r="D431" s="9" t="str">
        <f>"5764"</f>
        <v>5764</v>
      </c>
      <c r="E431" s="11" t="str">
        <f>"Земельный налог"</f>
        <v>Земельный налог</v>
      </c>
      <c r="F431" s="9" t="str">
        <f>""</f>
        <v/>
      </c>
      <c r="G431" s="9" t="str">
        <f>""</f>
        <v/>
      </c>
      <c r="H431" s="9" t="str">
        <f>""</f>
        <v/>
      </c>
      <c r="I431" s="12">
        <v>566052</v>
      </c>
    </row>
    <row r="432" spans="1:9" x14ac:dyDescent="0.25">
      <c r="A432" s="9">
        <v>124</v>
      </c>
      <c r="B432" s="10">
        <v>44742</v>
      </c>
      <c r="C432" s="9">
        <v>9</v>
      </c>
      <c r="D432" s="9" t="str">
        <f>"5765"</f>
        <v>5765</v>
      </c>
      <c r="E432" s="11" t="str">
        <f>"Налог на имущество юридических лиц"</f>
        <v>Налог на имущество юридических лиц</v>
      </c>
      <c r="F432" s="9" t="str">
        <f>""</f>
        <v/>
      </c>
      <c r="G432" s="9" t="str">
        <f>""</f>
        <v/>
      </c>
      <c r="H432" s="9" t="str">
        <f>""</f>
        <v/>
      </c>
      <c r="I432" s="12">
        <v>30611244</v>
      </c>
    </row>
    <row r="433" spans="1:9" x14ac:dyDescent="0.25">
      <c r="A433" s="9">
        <v>34</v>
      </c>
      <c r="B433" s="10">
        <v>44742</v>
      </c>
      <c r="C433" s="9">
        <v>9</v>
      </c>
      <c r="D433" s="9" t="str">
        <f>"5768"</f>
        <v>5768</v>
      </c>
      <c r="E433" s="11" t="str">
        <f>"Прочие налоги и обязательные платежи в бюджет"</f>
        <v>Прочие налоги и обязательные платежи в бюджет</v>
      </c>
      <c r="F433" s="9" t="str">
        <f>""</f>
        <v/>
      </c>
      <c r="G433" s="9" t="str">
        <f>""</f>
        <v/>
      </c>
      <c r="H433" s="9" t="str">
        <f>""</f>
        <v/>
      </c>
      <c r="I433" s="12">
        <v>102014351.40000001</v>
      </c>
    </row>
    <row r="434" spans="1:9" x14ac:dyDescent="0.25">
      <c r="A434" s="9">
        <v>78</v>
      </c>
      <c r="B434" s="10">
        <v>44742</v>
      </c>
      <c r="C434" s="9">
        <v>9</v>
      </c>
      <c r="D434" s="9" t="str">
        <f>"5781"</f>
        <v>5781</v>
      </c>
      <c r="E434" s="11" t="str">
        <f>"Расходы по амортизации зданий и сооружений"</f>
        <v>Расходы по амортизации зданий и сооружений</v>
      </c>
      <c r="F434" s="9" t="str">
        <f>""</f>
        <v/>
      </c>
      <c r="G434" s="9" t="str">
        <f>""</f>
        <v/>
      </c>
      <c r="H434" s="9" t="str">
        <f>""</f>
        <v/>
      </c>
      <c r="I434" s="12">
        <v>100001173.98</v>
      </c>
    </row>
    <row r="435" spans="1:9" x14ac:dyDescent="0.25">
      <c r="A435" s="9">
        <v>424</v>
      </c>
      <c r="B435" s="10">
        <v>44742</v>
      </c>
      <c r="C435" s="9">
        <v>9</v>
      </c>
      <c r="D435" s="9" t="str">
        <f>"5782"</f>
        <v>5782</v>
      </c>
      <c r="E435" s="11" t="str">
        <f>"Расходы по амортизации компьютерного оборудования"</f>
        <v>Расходы по амортизации компьютерного оборудования</v>
      </c>
      <c r="F435" s="9" t="str">
        <f>""</f>
        <v/>
      </c>
      <c r="G435" s="9" t="str">
        <f>""</f>
        <v/>
      </c>
      <c r="H435" s="9" t="str">
        <f>""</f>
        <v/>
      </c>
      <c r="I435" s="12">
        <v>1026165626.0700001</v>
      </c>
    </row>
    <row r="436" spans="1:9" x14ac:dyDescent="0.25">
      <c r="A436" s="9">
        <v>446</v>
      </c>
      <c r="B436" s="10">
        <v>44742</v>
      </c>
      <c r="C436" s="9">
        <v>9</v>
      </c>
      <c r="D436" s="9" t="str">
        <f>"5783"</f>
        <v>5783</v>
      </c>
      <c r="E436" s="11" t="str">
        <f>"Расходы по амортизации прочих основных средств"</f>
        <v>Расходы по амортизации прочих основных средств</v>
      </c>
      <c r="F436" s="9" t="str">
        <f>""</f>
        <v/>
      </c>
      <c r="G436" s="9" t="str">
        <f>""</f>
        <v/>
      </c>
      <c r="H436" s="9" t="str">
        <f>""</f>
        <v/>
      </c>
      <c r="I436" s="12">
        <v>278005831.47000003</v>
      </c>
    </row>
    <row r="437" spans="1:9" x14ac:dyDescent="0.25">
      <c r="A437" s="9">
        <v>241</v>
      </c>
      <c r="B437" s="10">
        <v>44742</v>
      </c>
      <c r="C437" s="9">
        <v>9</v>
      </c>
      <c r="D437" s="9" t="str">
        <f>"5784"</f>
        <v>5784</v>
      </c>
      <c r="E437" s="1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437" s="9" t="str">
        <f>""</f>
        <v/>
      </c>
      <c r="G437" s="9" t="str">
        <f>""</f>
        <v/>
      </c>
      <c r="H437" s="9" t="str">
        <f>""</f>
        <v/>
      </c>
      <c r="I437" s="12">
        <v>517095606.32999998</v>
      </c>
    </row>
    <row r="438" spans="1:9" ht="30" x14ac:dyDescent="0.25">
      <c r="A438" s="9">
        <v>82</v>
      </c>
      <c r="B438" s="10">
        <v>44742</v>
      </c>
      <c r="C438" s="9">
        <v>9</v>
      </c>
      <c r="D438" s="9" t="str">
        <f>"5786"</f>
        <v>5786</v>
      </c>
      <c r="E438" s="1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438" s="9" t="str">
        <f>""</f>
        <v/>
      </c>
      <c r="G438" s="9" t="str">
        <f>""</f>
        <v/>
      </c>
      <c r="H438" s="9" t="str">
        <f>""</f>
        <v/>
      </c>
      <c r="I438" s="12">
        <v>118425630.95999999</v>
      </c>
    </row>
    <row r="439" spans="1:9" x14ac:dyDescent="0.25">
      <c r="A439" s="9">
        <v>445</v>
      </c>
      <c r="B439" s="10">
        <v>44742</v>
      </c>
      <c r="C439" s="9">
        <v>9</v>
      </c>
      <c r="D439" s="9" t="str">
        <f>"5787"</f>
        <v>5787</v>
      </c>
      <c r="E439" s="11" t="str">
        <f>"Расходы по амортизации транспортных средств"</f>
        <v>Расходы по амортизации транспортных средств</v>
      </c>
      <c r="F439" s="9" t="str">
        <f>""</f>
        <v/>
      </c>
      <c r="G439" s="9" t="str">
        <f>""</f>
        <v/>
      </c>
      <c r="H439" s="9" t="str">
        <f>""</f>
        <v/>
      </c>
      <c r="I439" s="12">
        <v>1318221.06</v>
      </c>
    </row>
    <row r="440" spans="1:9" x14ac:dyDescent="0.25">
      <c r="A440" s="9">
        <v>342</v>
      </c>
      <c r="B440" s="10">
        <v>44742</v>
      </c>
      <c r="C440" s="9">
        <v>9</v>
      </c>
      <c r="D440" s="9" t="str">
        <f>"5788"</f>
        <v>5788</v>
      </c>
      <c r="E440" s="11" t="str">
        <f>"Расходы по амортизации нематериальных активов"</f>
        <v>Расходы по амортизации нематериальных активов</v>
      </c>
      <c r="F440" s="9" t="str">
        <f>""</f>
        <v/>
      </c>
      <c r="G440" s="9" t="str">
        <f>""</f>
        <v/>
      </c>
      <c r="H440" s="9" t="str">
        <f>""</f>
        <v/>
      </c>
      <c r="I440" s="12">
        <v>1055688364.61</v>
      </c>
    </row>
    <row r="441" spans="1:9" ht="30" x14ac:dyDescent="0.25">
      <c r="A441" s="9">
        <v>402</v>
      </c>
      <c r="B441" s="10">
        <v>44742</v>
      </c>
      <c r="C441" s="9">
        <v>9</v>
      </c>
      <c r="D441" s="9" t="str">
        <f>"5852"</f>
        <v>5852</v>
      </c>
      <c r="E441" s="1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441" s="9" t="str">
        <f>""</f>
        <v/>
      </c>
      <c r="G441" s="9" t="str">
        <f>""</f>
        <v/>
      </c>
      <c r="H441" s="9" t="str">
        <f>""</f>
        <v/>
      </c>
      <c r="I441" s="12">
        <v>131133.66</v>
      </c>
    </row>
    <row r="442" spans="1:9" x14ac:dyDescent="0.25">
      <c r="A442" s="9">
        <v>150</v>
      </c>
      <c r="B442" s="10">
        <v>44742</v>
      </c>
      <c r="C442" s="9">
        <v>9</v>
      </c>
      <c r="D442" s="9" t="str">
        <f>"5892"</f>
        <v>5892</v>
      </c>
      <c r="E442" s="11" t="str">
        <f>"Расходы по операциям форвард"</f>
        <v>Расходы по операциям форвард</v>
      </c>
      <c r="F442" s="9" t="str">
        <f>""</f>
        <v/>
      </c>
      <c r="G442" s="9" t="str">
        <f>""</f>
        <v/>
      </c>
      <c r="H442" s="9" t="str">
        <f>""</f>
        <v/>
      </c>
      <c r="I442" s="12">
        <v>303492290.63999999</v>
      </c>
    </row>
    <row r="443" spans="1:9" x14ac:dyDescent="0.25">
      <c r="A443" s="9">
        <v>352</v>
      </c>
      <c r="B443" s="10">
        <v>44742</v>
      </c>
      <c r="C443" s="9">
        <v>9</v>
      </c>
      <c r="D443" s="9" t="str">
        <f>"5895"</f>
        <v>5895</v>
      </c>
      <c r="E443" s="11" t="str">
        <f>"Расходы по операциям своп"</f>
        <v>Расходы по операциям своп</v>
      </c>
      <c r="F443" s="9" t="str">
        <f>""</f>
        <v/>
      </c>
      <c r="G443" s="9" t="str">
        <f>""</f>
        <v/>
      </c>
      <c r="H443" s="9" t="str">
        <f>""</f>
        <v/>
      </c>
      <c r="I443" s="12">
        <v>9259832421.5</v>
      </c>
    </row>
    <row r="444" spans="1:9" x14ac:dyDescent="0.25">
      <c r="A444" s="9">
        <v>262</v>
      </c>
      <c r="B444" s="10">
        <v>44742</v>
      </c>
      <c r="C444" s="9">
        <v>9</v>
      </c>
      <c r="D444" s="9" t="str">
        <f>"5900"</f>
        <v>5900</v>
      </c>
      <c r="E444" s="11" t="str">
        <f>"Неустойка (штраф, пеня)"</f>
        <v>Неустойка (штраф, пеня)</v>
      </c>
      <c r="F444" s="9" t="str">
        <f>""</f>
        <v/>
      </c>
      <c r="G444" s="9" t="str">
        <f>""</f>
        <v/>
      </c>
      <c r="H444" s="9" t="str">
        <f>""</f>
        <v/>
      </c>
      <c r="I444" s="12">
        <v>6686529.46</v>
      </c>
    </row>
    <row r="445" spans="1:9" x14ac:dyDescent="0.25">
      <c r="A445" s="9">
        <v>401</v>
      </c>
      <c r="B445" s="10">
        <v>44742</v>
      </c>
      <c r="C445" s="9">
        <v>9</v>
      </c>
      <c r="D445" s="9" t="str">
        <f>"5921"</f>
        <v>5921</v>
      </c>
      <c r="E445" s="11" t="str">
        <f>"Прочие расходы от банковской деятельности"</f>
        <v>Прочие расходы от банковской деятельности</v>
      </c>
      <c r="F445" s="9" t="str">
        <f>""</f>
        <v/>
      </c>
      <c r="G445" s="9" t="str">
        <f>""</f>
        <v/>
      </c>
      <c r="H445" s="9" t="str">
        <f>""</f>
        <v/>
      </c>
      <c r="I445" s="12">
        <v>3229863126.5900002</v>
      </c>
    </row>
    <row r="446" spans="1:9" x14ac:dyDescent="0.25">
      <c r="A446" s="9">
        <v>372</v>
      </c>
      <c r="B446" s="10">
        <v>44742</v>
      </c>
      <c r="C446" s="9">
        <v>9</v>
      </c>
      <c r="D446" s="9" t="str">
        <f>"5922"</f>
        <v>5922</v>
      </c>
      <c r="E446" s="11" t="str">
        <f>"Прочие расходы от неосновной деятельности"</f>
        <v>Прочие расходы от неосновной деятельности</v>
      </c>
      <c r="F446" s="9" t="str">
        <f>""</f>
        <v/>
      </c>
      <c r="G446" s="9" t="str">
        <f>""</f>
        <v/>
      </c>
      <c r="H446" s="9" t="str">
        <f>""</f>
        <v/>
      </c>
      <c r="I446" s="12">
        <v>266788226.02000001</v>
      </c>
    </row>
    <row r="447" spans="1:9" x14ac:dyDescent="0.25">
      <c r="A447" s="9">
        <v>81</v>
      </c>
      <c r="B447" s="10">
        <v>44742</v>
      </c>
      <c r="C447" s="9">
        <v>9</v>
      </c>
      <c r="D447" s="9" t="str">
        <f>"5923"</f>
        <v>5923</v>
      </c>
      <c r="E447" s="11" t="str">
        <f>"Расходы по аренде"</f>
        <v>Расходы по аренде</v>
      </c>
      <c r="F447" s="9" t="str">
        <f>""</f>
        <v/>
      </c>
      <c r="G447" s="9" t="str">
        <f>""</f>
        <v/>
      </c>
      <c r="H447" s="9" t="str">
        <f>""</f>
        <v/>
      </c>
      <c r="I447" s="12">
        <v>196015472.38</v>
      </c>
    </row>
    <row r="448" spans="1:9" x14ac:dyDescent="0.25">
      <c r="A448" s="9">
        <v>452</v>
      </c>
      <c r="B448" s="10">
        <v>44742</v>
      </c>
      <c r="C448" s="9">
        <v>9</v>
      </c>
      <c r="D448" s="9" t="str">
        <f>"5999"</f>
        <v>5999</v>
      </c>
      <c r="E448" s="11" t="str">
        <f>"Корпоративный подоходный налог"</f>
        <v>Корпоративный подоходный налог</v>
      </c>
      <c r="F448" s="9" t="str">
        <f>""</f>
        <v/>
      </c>
      <c r="G448" s="9" t="str">
        <f>""</f>
        <v/>
      </c>
      <c r="H448" s="9" t="str">
        <f>""</f>
        <v/>
      </c>
      <c r="I448" s="12">
        <v>3404026353.2399998</v>
      </c>
    </row>
    <row r="449" spans="1:9" ht="30" x14ac:dyDescent="0.25">
      <c r="A449" s="9">
        <v>403</v>
      </c>
      <c r="B449" s="10">
        <v>44742</v>
      </c>
      <c r="C449" s="9">
        <v>9</v>
      </c>
      <c r="D449" s="9" t="str">
        <f>"6055"</f>
        <v>6055</v>
      </c>
      <c r="E449" s="1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449" s="9" t="str">
        <f>""</f>
        <v/>
      </c>
      <c r="G449" s="9" t="str">
        <f>""</f>
        <v/>
      </c>
      <c r="H449" s="9" t="str">
        <f>""</f>
        <v/>
      </c>
      <c r="I449" s="12">
        <v>5481370199.6999998</v>
      </c>
    </row>
    <row r="450" spans="1:9" x14ac:dyDescent="0.25">
      <c r="A450" s="9">
        <v>447</v>
      </c>
      <c r="B450" s="10">
        <v>44742</v>
      </c>
      <c r="C450" s="9">
        <v>9</v>
      </c>
      <c r="D450" s="9" t="str">
        <f>"6075"</f>
        <v>6075</v>
      </c>
      <c r="E450" s="11" t="str">
        <f>"Возможные требования по принятым гарантиям"</f>
        <v>Возможные требования по принятым гарантиям</v>
      </c>
      <c r="F450" s="9" t="str">
        <f>""</f>
        <v/>
      </c>
      <c r="G450" s="9" t="str">
        <f>""</f>
        <v/>
      </c>
      <c r="H450" s="9" t="str">
        <f>""</f>
        <v/>
      </c>
      <c r="I450" s="12">
        <v>353031074114.81</v>
      </c>
    </row>
    <row r="451" spans="1:9" ht="30" x14ac:dyDescent="0.25">
      <c r="A451" s="9">
        <v>111</v>
      </c>
      <c r="B451" s="10">
        <v>44742</v>
      </c>
      <c r="C451" s="9">
        <v>9</v>
      </c>
      <c r="D451" s="9" t="str">
        <f>"6125"</f>
        <v>6125</v>
      </c>
      <c r="E451" s="11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451" s="9" t="str">
        <f>""</f>
        <v/>
      </c>
      <c r="G451" s="9" t="str">
        <f>""</f>
        <v/>
      </c>
      <c r="H451" s="9" t="str">
        <f>""</f>
        <v/>
      </c>
      <c r="I451" s="12">
        <v>127401460017.74001</v>
      </c>
    </row>
    <row r="452" spans="1:9" ht="30" x14ac:dyDescent="0.25">
      <c r="A452" s="9">
        <v>302</v>
      </c>
      <c r="B452" s="10">
        <v>44742</v>
      </c>
      <c r="C452" s="9">
        <v>9</v>
      </c>
      <c r="D452" s="9" t="str">
        <f>"6126"</f>
        <v>6126</v>
      </c>
      <c r="E452" s="1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452" s="9" t="str">
        <f>""</f>
        <v/>
      </c>
      <c r="G452" s="9" t="str">
        <f>""</f>
        <v/>
      </c>
      <c r="H452" s="9" t="str">
        <f>""</f>
        <v/>
      </c>
      <c r="I452" s="12">
        <v>20858053386.790001</v>
      </c>
    </row>
    <row r="453" spans="1:9" ht="30" x14ac:dyDescent="0.25">
      <c r="A453" s="9">
        <v>425</v>
      </c>
      <c r="B453" s="10">
        <v>44742</v>
      </c>
      <c r="C453" s="9">
        <v>9</v>
      </c>
      <c r="D453" s="9" t="str">
        <f>"6555"</f>
        <v>6555</v>
      </c>
      <c r="E453" s="1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453" s="9" t="str">
        <f>""</f>
        <v/>
      </c>
      <c r="G453" s="9" t="str">
        <f>""</f>
        <v/>
      </c>
      <c r="H453" s="9" t="str">
        <f>""</f>
        <v/>
      </c>
      <c r="I453" s="12">
        <v>5481370199.6999998</v>
      </c>
    </row>
    <row r="454" spans="1:9" x14ac:dyDescent="0.25">
      <c r="A454" s="9">
        <v>347</v>
      </c>
      <c r="B454" s="10">
        <v>44742</v>
      </c>
      <c r="C454" s="9">
        <v>9</v>
      </c>
      <c r="D454" s="9" t="str">
        <f>"6575"</f>
        <v>6575</v>
      </c>
      <c r="E454" s="11" t="str">
        <f>"Возможное уменьшение требований по принятым гарантиям"</f>
        <v>Возможное уменьшение требований по принятым гарантиям</v>
      </c>
      <c r="F454" s="9" t="str">
        <f>""</f>
        <v/>
      </c>
      <c r="G454" s="9" t="str">
        <f>""</f>
        <v/>
      </c>
      <c r="H454" s="9" t="str">
        <f>""</f>
        <v/>
      </c>
      <c r="I454" s="12">
        <v>353031074114.81</v>
      </c>
    </row>
    <row r="455" spans="1:9" ht="30" x14ac:dyDescent="0.25">
      <c r="A455" s="9">
        <v>80</v>
      </c>
      <c r="B455" s="10">
        <v>44742</v>
      </c>
      <c r="C455" s="9">
        <v>9</v>
      </c>
      <c r="D455" s="9" t="str">
        <f>"6625"</f>
        <v>6625</v>
      </c>
      <c r="E455" s="11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455" s="9" t="str">
        <f>""</f>
        <v/>
      </c>
      <c r="G455" s="9" t="str">
        <f>""</f>
        <v/>
      </c>
      <c r="H455" s="9" t="str">
        <f>""</f>
        <v/>
      </c>
      <c r="I455" s="12">
        <v>127401460017.74001</v>
      </c>
    </row>
    <row r="456" spans="1:9" ht="30" x14ac:dyDescent="0.25">
      <c r="A456" s="9">
        <v>248</v>
      </c>
      <c r="B456" s="10">
        <v>44742</v>
      </c>
      <c r="C456" s="9">
        <v>9</v>
      </c>
      <c r="D456" s="9" t="str">
        <f>"6626"</f>
        <v>6626</v>
      </c>
      <c r="E456" s="1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456" s="9" t="str">
        <f>""</f>
        <v/>
      </c>
      <c r="G456" s="9" t="str">
        <f>""</f>
        <v/>
      </c>
      <c r="H456" s="9" t="str">
        <f>""</f>
        <v/>
      </c>
      <c r="I456" s="12">
        <v>20858053386.790001</v>
      </c>
    </row>
    <row r="457" spans="1:9" ht="30" x14ac:dyDescent="0.25">
      <c r="A457" s="9">
        <v>200</v>
      </c>
      <c r="B457" s="10">
        <v>44742</v>
      </c>
      <c r="C457" s="9">
        <v>9</v>
      </c>
      <c r="D457" s="9" t="str">
        <f>"7110"</f>
        <v>7110</v>
      </c>
      <c r="E457" s="1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457" s="9" t="str">
        <f>""</f>
        <v/>
      </c>
      <c r="G457" s="9" t="str">
        <f>""</f>
        <v/>
      </c>
      <c r="H457" s="9" t="str">
        <f>""</f>
        <v/>
      </c>
      <c r="I457" s="12">
        <v>880087789.04999995</v>
      </c>
    </row>
    <row r="458" spans="1:9" x14ac:dyDescent="0.25">
      <c r="A458" s="9">
        <v>267</v>
      </c>
      <c r="B458" s="10">
        <v>44742</v>
      </c>
      <c r="C458" s="9">
        <v>9</v>
      </c>
      <c r="D458" s="9" t="str">
        <f>"7220"</f>
        <v>7220</v>
      </c>
      <c r="E458" s="11" t="str">
        <f>"Арендованные активы"</f>
        <v>Арендованные активы</v>
      </c>
      <c r="F458" s="9" t="str">
        <f>""</f>
        <v/>
      </c>
      <c r="G458" s="9" t="str">
        <f>""</f>
        <v/>
      </c>
      <c r="H458" s="9" t="str">
        <f>""</f>
        <v/>
      </c>
      <c r="I458" s="12">
        <v>21982853.530000001</v>
      </c>
    </row>
    <row r="459" spans="1:9" ht="30" x14ac:dyDescent="0.25">
      <c r="A459" s="9">
        <v>337</v>
      </c>
      <c r="B459" s="10">
        <v>44742</v>
      </c>
      <c r="C459" s="9">
        <v>9</v>
      </c>
      <c r="D459" s="9" t="str">
        <f>"7250"</f>
        <v>7250</v>
      </c>
      <c r="E459" s="1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459" s="9" t="str">
        <f>""</f>
        <v/>
      </c>
      <c r="G459" s="9" t="str">
        <f>""</f>
        <v/>
      </c>
      <c r="H459" s="9" t="str">
        <f>""</f>
        <v/>
      </c>
      <c r="I459" s="12">
        <v>20656580933.599998</v>
      </c>
    </row>
    <row r="460" spans="1:9" x14ac:dyDescent="0.25">
      <c r="A460" s="9">
        <v>110</v>
      </c>
      <c r="B460" s="10">
        <v>44742</v>
      </c>
      <c r="C460" s="9">
        <v>9</v>
      </c>
      <c r="D460" s="9" t="str">
        <f>"7303"</f>
        <v>7303</v>
      </c>
      <c r="E460" s="11" t="str">
        <f>"Платежные документы, не оплаченные в срок"</f>
        <v>Платежные документы, не оплаченные в срок</v>
      </c>
      <c r="F460" s="9" t="str">
        <f>""</f>
        <v/>
      </c>
      <c r="G460" s="9" t="str">
        <f>""</f>
        <v/>
      </c>
      <c r="H460" s="9" t="str">
        <f>""</f>
        <v/>
      </c>
      <c r="I460" s="12">
        <v>777068137407.33997</v>
      </c>
    </row>
    <row r="461" spans="1:9" x14ac:dyDescent="0.25">
      <c r="A461" s="9">
        <v>304</v>
      </c>
      <c r="B461" s="10">
        <v>44742</v>
      </c>
      <c r="C461" s="9">
        <v>9</v>
      </c>
      <c r="D461" s="9" t="str">
        <f>"7339"</f>
        <v>7339</v>
      </c>
      <c r="E461" s="11" t="str">
        <f>"Разные ценности и документы"</f>
        <v>Разные ценности и документы</v>
      </c>
      <c r="F461" s="9" t="str">
        <f>""</f>
        <v/>
      </c>
      <c r="G461" s="9" t="str">
        <f>""</f>
        <v/>
      </c>
      <c r="H461" s="9" t="str">
        <f>""</f>
        <v/>
      </c>
      <c r="I461" s="12">
        <v>16793055691</v>
      </c>
    </row>
    <row r="462" spans="1:9" ht="30" x14ac:dyDescent="0.25">
      <c r="A462" s="9">
        <v>303</v>
      </c>
      <c r="B462" s="10">
        <v>44742</v>
      </c>
      <c r="C462" s="9">
        <v>9</v>
      </c>
      <c r="D462" s="9" t="str">
        <f>"7342"</f>
        <v>7342</v>
      </c>
      <c r="E462" s="1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462" s="9" t="str">
        <f>""</f>
        <v/>
      </c>
      <c r="G462" s="9" t="str">
        <f>""</f>
        <v/>
      </c>
      <c r="H462" s="9" t="str">
        <f>""</f>
        <v/>
      </c>
      <c r="I462" s="12">
        <v>403795</v>
      </c>
    </row>
  </sheetData>
  <sortState ref="A2:I457">
    <sortCondition ref="D2:D457"/>
    <sortCondition ref="F2:F457"/>
    <sortCondition ref="G2:G457"/>
    <sortCondition ref="H2:H457"/>
  </sortState>
  <mergeCells count="3">
    <mergeCell ref="A2:I2"/>
    <mergeCell ref="A3:I3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7"/>
  <sheetViews>
    <sheetView topLeftCell="A423" workbookViewId="0">
      <selection sqref="A1:B1048576"/>
    </sheetView>
  </sheetViews>
  <sheetFormatPr defaultRowHeight="15" x14ac:dyDescent="0.25"/>
  <cols>
    <col min="2" max="2" width="19.28515625" customWidth="1"/>
  </cols>
  <sheetData>
    <row r="2" spans="1:2" x14ac:dyDescent="0.25">
      <c r="A2" s="15">
        <v>1417191</v>
      </c>
      <c r="B2" s="8">
        <v>86067157613.899994</v>
      </c>
    </row>
    <row r="3" spans="1:2" x14ac:dyDescent="0.25">
      <c r="A3" s="15">
        <v>183121</v>
      </c>
      <c r="B3" s="12">
        <v>20800</v>
      </c>
    </row>
    <row r="4" spans="1:2" x14ac:dyDescent="0.25">
      <c r="A4" s="15">
        <v>1054243</v>
      </c>
      <c r="B4" s="12">
        <v>-2047475.92</v>
      </c>
    </row>
    <row r="5" spans="1:2" x14ac:dyDescent="0.25">
      <c r="A5" s="15">
        <v>1005131</v>
      </c>
      <c r="B5" s="12">
        <v>3738682734</v>
      </c>
    </row>
    <row r="6" spans="1:2" x14ac:dyDescent="0.25">
      <c r="A6" s="15">
        <v>1740171</v>
      </c>
      <c r="B6" s="12">
        <v>88153586.719999999</v>
      </c>
    </row>
    <row r="7" spans="1:2" x14ac:dyDescent="0.25">
      <c r="A7" s="15">
        <v>183813</v>
      </c>
      <c r="B7" s="12">
        <v>997.23</v>
      </c>
    </row>
    <row r="8" spans="1:2" x14ac:dyDescent="0.25">
      <c r="A8" s="15">
        <v>1424191</v>
      </c>
      <c r="B8" s="12">
        <v>4474947617.3800001</v>
      </c>
    </row>
    <row r="9" spans="1:2" x14ac:dyDescent="0.25">
      <c r="A9" s="15">
        <v>1793271</v>
      </c>
      <c r="B9" s="12">
        <v>183632851.13</v>
      </c>
    </row>
    <row r="10" spans="1:2" x14ac:dyDescent="0.25">
      <c r="A10" s="15">
        <v>181811</v>
      </c>
      <c r="B10" s="12">
        <v>20000</v>
      </c>
    </row>
    <row r="11" spans="1:2" x14ac:dyDescent="0.25">
      <c r="A11" s="15">
        <v>1855243</v>
      </c>
      <c r="B11" s="12">
        <v>67855933.200000003</v>
      </c>
    </row>
    <row r="12" spans="1:2" x14ac:dyDescent="0.25">
      <c r="A12" s="15">
        <v>1860192</v>
      </c>
      <c r="B12" s="12">
        <v>4969240.24</v>
      </c>
    </row>
    <row r="13" spans="1:2" x14ac:dyDescent="0.25">
      <c r="A13" s="15">
        <v>1870191</v>
      </c>
      <c r="B13" s="12">
        <v>38905687.850000001</v>
      </c>
    </row>
    <row r="14" spans="1:2" x14ac:dyDescent="0.25">
      <c r="A14" s="15">
        <v>1877141</v>
      </c>
      <c r="B14" s="12">
        <v>-259145180.55000001</v>
      </c>
    </row>
    <row r="15" spans="1:2" x14ac:dyDescent="0.25">
      <c r="A15" s="15">
        <v>2203272</v>
      </c>
      <c r="B15" s="12">
        <v>1539239721.25</v>
      </c>
    </row>
    <row r="16" spans="1:2" x14ac:dyDescent="0.25">
      <c r="A16" s="15">
        <v>2203153</v>
      </c>
      <c r="B16" s="12">
        <v>12542.1</v>
      </c>
    </row>
    <row r="17" spans="1:2" x14ac:dyDescent="0.25">
      <c r="A17" s="15">
        <v>2214193</v>
      </c>
      <c r="B17" s="12">
        <v>4958930.75</v>
      </c>
    </row>
    <row r="18" spans="1:2" x14ac:dyDescent="0.25">
      <c r="A18" s="15">
        <v>2237171</v>
      </c>
      <c r="B18" s="12">
        <v>26646627.699999999</v>
      </c>
    </row>
    <row r="19" spans="1:2" x14ac:dyDescent="0.25">
      <c r="A19" s="15">
        <v>2234151</v>
      </c>
      <c r="B19" s="12">
        <v>-42196070</v>
      </c>
    </row>
    <row r="20" spans="1:2" x14ac:dyDescent="0.25">
      <c r="A20" s="15">
        <v>2240191</v>
      </c>
      <c r="B20" s="12">
        <v>14090361.34</v>
      </c>
    </row>
    <row r="21" spans="1:2" x14ac:dyDescent="0.25">
      <c r="A21" s="15">
        <v>2721292</v>
      </c>
      <c r="B21" s="12">
        <v>108.18</v>
      </c>
    </row>
    <row r="22" spans="1:2" x14ac:dyDescent="0.25">
      <c r="A22" s="15">
        <v>2770181</v>
      </c>
      <c r="B22" s="12">
        <v>4610176</v>
      </c>
    </row>
    <row r="23" spans="1:2" x14ac:dyDescent="0.25">
      <c r="A23" s="15">
        <v>2860142</v>
      </c>
      <c r="B23" s="12">
        <v>14761733.789999999</v>
      </c>
    </row>
    <row r="24" spans="1:2" x14ac:dyDescent="0.25">
      <c r="A24" s="15">
        <v>2869173</v>
      </c>
      <c r="B24" s="12">
        <v>29792.05</v>
      </c>
    </row>
    <row r="25" spans="1:2" x14ac:dyDescent="0.25">
      <c r="A25" s="15">
        <v>2870151</v>
      </c>
      <c r="B25" s="12">
        <v>996287.04</v>
      </c>
    </row>
    <row r="26" spans="1:2" x14ac:dyDescent="0.25">
      <c r="A26" s="15">
        <v>3001</v>
      </c>
      <c r="B26" s="12">
        <v>5484000000</v>
      </c>
    </row>
    <row r="27" spans="1:2" x14ac:dyDescent="0.25">
      <c r="A27" s="15">
        <v>4403</v>
      </c>
      <c r="B27" s="12">
        <v>2814393135.6700001</v>
      </c>
    </row>
    <row r="28" spans="1:2" x14ac:dyDescent="0.25">
      <c r="A28" s="15">
        <v>4570</v>
      </c>
      <c r="B28" s="12">
        <v>240180000</v>
      </c>
    </row>
    <row r="29" spans="1:2" x14ac:dyDescent="0.25">
      <c r="A29" s="15">
        <v>4900</v>
      </c>
      <c r="B29" s="12">
        <v>587966105.49000001</v>
      </c>
    </row>
    <row r="30" spans="1:2" x14ac:dyDescent="0.25">
      <c r="A30" s="15">
        <v>5220</v>
      </c>
      <c r="B30" s="12">
        <v>51436827.829999998</v>
      </c>
    </row>
    <row r="31" spans="1:2" x14ac:dyDescent="0.25">
      <c r="A31" s="15">
        <v>5606</v>
      </c>
      <c r="B31" s="12">
        <v>6306538.6200000001</v>
      </c>
    </row>
    <row r="32" spans="1:2" x14ac:dyDescent="0.25">
      <c r="A32" s="15">
        <v>5608</v>
      </c>
      <c r="B32" s="12">
        <v>2209143361.9299998</v>
      </c>
    </row>
    <row r="33" spans="1:2" x14ac:dyDescent="0.25">
      <c r="A33" s="15">
        <v>5609</v>
      </c>
      <c r="B33" s="12">
        <v>18103645.43</v>
      </c>
    </row>
    <row r="34" spans="1:2" x14ac:dyDescent="0.25">
      <c r="A34" s="15">
        <v>5761</v>
      </c>
      <c r="B34" s="12">
        <v>647997007.96000004</v>
      </c>
    </row>
    <row r="35" spans="1:2" x14ac:dyDescent="0.25">
      <c r="A35" s="15">
        <v>5768</v>
      </c>
      <c r="B35" s="12">
        <v>102014351.40000001</v>
      </c>
    </row>
    <row r="36" spans="1:2" x14ac:dyDescent="0.25">
      <c r="A36" s="15">
        <v>5741</v>
      </c>
      <c r="B36" s="12">
        <v>120392580.01000001</v>
      </c>
    </row>
    <row r="37" spans="1:2" x14ac:dyDescent="0.25">
      <c r="A37" s="15">
        <v>1695</v>
      </c>
      <c r="B37" s="12">
        <v>-3040785939.6500001</v>
      </c>
    </row>
    <row r="38" spans="1:2" x14ac:dyDescent="0.25">
      <c r="A38" s="15">
        <v>1651</v>
      </c>
      <c r="B38" s="12">
        <v>59063715</v>
      </c>
    </row>
    <row r="39" spans="1:2" x14ac:dyDescent="0.25">
      <c r="A39" s="15">
        <v>1602</v>
      </c>
      <c r="B39" s="12">
        <v>342113521.25</v>
      </c>
    </row>
    <row r="40" spans="1:2" x14ac:dyDescent="0.25">
      <c r="A40" s="15">
        <v>1699</v>
      </c>
      <c r="B40" s="12">
        <v>-4655728885.6000004</v>
      </c>
    </row>
    <row r="41" spans="1:2" x14ac:dyDescent="0.25">
      <c r="A41" s="15">
        <v>1741191</v>
      </c>
      <c r="B41" s="12">
        <v>3020738963.7800002</v>
      </c>
    </row>
    <row r="42" spans="1:2" x14ac:dyDescent="0.25">
      <c r="A42" s="15">
        <v>183111</v>
      </c>
      <c r="B42" s="12">
        <v>8540394.7200000007</v>
      </c>
    </row>
    <row r="43" spans="1:2" x14ac:dyDescent="0.25">
      <c r="A43" s="15">
        <v>1653</v>
      </c>
      <c r="B43" s="12">
        <v>9711634493.1299992</v>
      </c>
    </row>
    <row r="44" spans="1:2" x14ac:dyDescent="0.25">
      <c r="A44" s="15">
        <v>2203251</v>
      </c>
      <c r="B44" s="12">
        <v>85437.43</v>
      </c>
    </row>
    <row r="45" spans="1:2" x14ac:dyDescent="0.25">
      <c r="A45" s="15">
        <v>1878171</v>
      </c>
      <c r="B45" s="12">
        <v>-855141849.35000002</v>
      </c>
    </row>
    <row r="46" spans="1:2" x14ac:dyDescent="0.25">
      <c r="A46" s="15">
        <v>1877191</v>
      </c>
      <c r="B46" s="12">
        <v>-1528815262.6500001</v>
      </c>
    </row>
    <row r="47" spans="1:2" x14ac:dyDescent="0.25">
      <c r="A47" s="15">
        <v>2203151</v>
      </c>
      <c r="B47" s="12">
        <v>32892233.41</v>
      </c>
    </row>
    <row r="48" spans="1:2" x14ac:dyDescent="0.25">
      <c r="A48" s="15">
        <v>2203182</v>
      </c>
      <c r="B48" s="12">
        <v>29047.09</v>
      </c>
    </row>
    <row r="49" spans="1:2" x14ac:dyDescent="0.25">
      <c r="A49" s="15">
        <v>2207192</v>
      </c>
      <c r="B49" s="12">
        <v>11347831118.92</v>
      </c>
    </row>
    <row r="50" spans="1:2" x14ac:dyDescent="0.25">
      <c r="A50" s="15">
        <v>2207291</v>
      </c>
      <c r="B50" s="12">
        <v>125327140.23999999</v>
      </c>
    </row>
    <row r="51" spans="1:2" x14ac:dyDescent="0.25">
      <c r="A51" s="15">
        <v>2206293</v>
      </c>
      <c r="B51" s="12">
        <v>54701305.32</v>
      </c>
    </row>
    <row r="52" spans="1:2" x14ac:dyDescent="0.25">
      <c r="A52" s="15">
        <v>2205191</v>
      </c>
      <c r="B52" s="12">
        <v>4316.58</v>
      </c>
    </row>
    <row r="53" spans="1:2" x14ac:dyDescent="0.25">
      <c r="A53" s="15">
        <v>2214191</v>
      </c>
      <c r="B53" s="12">
        <v>5465063019.5900002</v>
      </c>
    </row>
    <row r="54" spans="1:2" x14ac:dyDescent="0.25">
      <c r="A54" s="15">
        <v>2237193</v>
      </c>
      <c r="B54" s="12">
        <v>7680794</v>
      </c>
    </row>
    <row r="55" spans="1:2" x14ac:dyDescent="0.25">
      <c r="A55" s="15">
        <v>2721171</v>
      </c>
      <c r="B55" s="12">
        <v>1950668.66</v>
      </c>
    </row>
    <row r="56" spans="1:2" x14ac:dyDescent="0.25">
      <c r="A56" s="15">
        <v>2724191</v>
      </c>
      <c r="B56" s="12">
        <v>3367.87</v>
      </c>
    </row>
    <row r="57" spans="1:2" x14ac:dyDescent="0.25">
      <c r="A57" s="15">
        <v>2794171</v>
      </c>
      <c r="B57" s="12">
        <v>8404064.5399999991</v>
      </c>
    </row>
    <row r="58" spans="1:2" x14ac:dyDescent="0.25">
      <c r="A58" s="15">
        <v>2794291</v>
      </c>
      <c r="B58" s="12">
        <v>591254.04</v>
      </c>
    </row>
    <row r="59" spans="1:2" x14ac:dyDescent="0.25">
      <c r="A59" s="15">
        <v>2794191</v>
      </c>
      <c r="B59" s="12">
        <v>12883507.310000001</v>
      </c>
    </row>
    <row r="60" spans="1:2" x14ac:dyDescent="0.25">
      <c r="A60" s="15">
        <v>2794151</v>
      </c>
      <c r="B60" s="12">
        <v>45000</v>
      </c>
    </row>
    <row r="61" spans="1:2" x14ac:dyDescent="0.25">
      <c r="A61" s="15">
        <v>2860272</v>
      </c>
      <c r="B61" s="12">
        <v>133458.98000000001</v>
      </c>
    </row>
    <row r="62" spans="1:2" x14ac:dyDescent="0.25">
      <c r="A62" s="15">
        <v>281811</v>
      </c>
      <c r="B62" s="12">
        <v>387572</v>
      </c>
    </row>
    <row r="63" spans="1:2" x14ac:dyDescent="0.25">
      <c r="A63" s="15">
        <v>2860141</v>
      </c>
      <c r="B63" s="12">
        <v>11664883524.4</v>
      </c>
    </row>
    <row r="64" spans="1:2" x14ac:dyDescent="0.25">
      <c r="A64" s="15">
        <v>4267</v>
      </c>
      <c r="B64" s="12">
        <v>4103.76</v>
      </c>
    </row>
    <row r="65" spans="1:2" x14ac:dyDescent="0.25">
      <c r="A65" s="15">
        <v>2870191</v>
      </c>
      <c r="B65" s="12">
        <v>2848498.23</v>
      </c>
    </row>
    <row r="66" spans="1:2" x14ac:dyDescent="0.25">
      <c r="A66" s="15">
        <v>4401</v>
      </c>
      <c r="B66" s="12">
        <v>64051749.100000001</v>
      </c>
    </row>
    <row r="67" spans="1:2" x14ac:dyDescent="0.25">
      <c r="A67" s="15">
        <v>4492</v>
      </c>
      <c r="B67" s="12">
        <v>14872429.5</v>
      </c>
    </row>
    <row r="68" spans="1:2" x14ac:dyDescent="0.25">
      <c r="A68" s="15">
        <v>4956</v>
      </c>
      <c r="B68" s="12">
        <v>291725684.97000003</v>
      </c>
    </row>
    <row r="69" spans="1:2" x14ac:dyDescent="0.25">
      <c r="A69" s="15">
        <v>4614</v>
      </c>
      <c r="B69" s="12">
        <v>5231810.3600000003</v>
      </c>
    </row>
    <row r="70" spans="1:2" x14ac:dyDescent="0.25">
      <c r="A70" s="15">
        <v>4959</v>
      </c>
      <c r="B70" s="12">
        <v>120709014.55</v>
      </c>
    </row>
    <row r="71" spans="1:2" x14ac:dyDescent="0.25">
      <c r="A71" s="15">
        <v>4892</v>
      </c>
      <c r="B71" s="12">
        <v>256710576.53</v>
      </c>
    </row>
    <row r="72" spans="1:2" x14ac:dyDescent="0.25">
      <c r="A72" s="15">
        <v>4953</v>
      </c>
      <c r="B72" s="12">
        <v>46438754.390000001</v>
      </c>
    </row>
    <row r="73" spans="1:2" x14ac:dyDescent="0.25">
      <c r="A73" s="15">
        <v>5229</v>
      </c>
      <c r="B73" s="12">
        <v>772555.4</v>
      </c>
    </row>
    <row r="74" spans="1:2" x14ac:dyDescent="0.25">
      <c r="A74" s="15">
        <v>5510</v>
      </c>
      <c r="B74" s="12">
        <v>1274685015.1500001</v>
      </c>
    </row>
    <row r="75" spans="1:2" x14ac:dyDescent="0.25">
      <c r="A75" s="15">
        <v>1694</v>
      </c>
      <c r="B75" s="12">
        <v>-2247624960.0500002</v>
      </c>
    </row>
    <row r="76" spans="1:2" x14ac:dyDescent="0.25">
      <c r="A76" s="15">
        <v>1052243</v>
      </c>
      <c r="B76" s="12">
        <v>11365327.949999999</v>
      </c>
    </row>
    <row r="77" spans="1:2" x14ac:dyDescent="0.25">
      <c r="A77" s="15">
        <v>5530</v>
      </c>
      <c r="B77" s="12">
        <v>14741314348.23</v>
      </c>
    </row>
    <row r="78" spans="1:2" x14ac:dyDescent="0.25">
      <c r="A78" s="15">
        <v>5603</v>
      </c>
      <c r="B78" s="12">
        <v>4775400</v>
      </c>
    </row>
    <row r="79" spans="1:2" x14ac:dyDescent="0.25">
      <c r="A79" s="15">
        <v>5781</v>
      </c>
      <c r="B79" s="12">
        <v>100001173.98</v>
      </c>
    </row>
    <row r="80" spans="1:2" x14ac:dyDescent="0.25">
      <c r="A80" s="15">
        <v>5747</v>
      </c>
      <c r="B80" s="12">
        <v>28542043.600000001</v>
      </c>
    </row>
    <row r="81" spans="1:2" x14ac:dyDescent="0.25">
      <c r="A81" s="15">
        <v>6625</v>
      </c>
      <c r="B81" s="12">
        <v>127401460017.74001</v>
      </c>
    </row>
    <row r="82" spans="1:2" x14ac:dyDescent="0.25">
      <c r="A82" s="15">
        <v>5923</v>
      </c>
      <c r="B82" s="12">
        <v>196015472.38</v>
      </c>
    </row>
    <row r="83" spans="1:2" x14ac:dyDescent="0.25">
      <c r="A83" s="15">
        <v>5786</v>
      </c>
      <c r="B83" s="12">
        <v>118425630.95999999</v>
      </c>
    </row>
    <row r="84" spans="1:2" x14ac:dyDescent="0.25">
      <c r="A84" s="15">
        <v>1492171</v>
      </c>
      <c r="B84" s="12">
        <v>-14386554.41</v>
      </c>
    </row>
    <row r="85" spans="1:2" x14ac:dyDescent="0.25">
      <c r="A85" s="15">
        <v>1692</v>
      </c>
      <c r="B85" s="12">
        <v>-101261794.06999999</v>
      </c>
    </row>
    <row r="86" spans="1:2" x14ac:dyDescent="0.25">
      <c r="A86" s="15">
        <v>1267242</v>
      </c>
      <c r="B86" s="12">
        <v>1158459071.4100001</v>
      </c>
    </row>
    <row r="87" spans="1:2" x14ac:dyDescent="0.25">
      <c r="A87" s="15">
        <v>1267151</v>
      </c>
      <c r="B87" s="12">
        <v>53000000</v>
      </c>
    </row>
    <row r="88" spans="1:2" x14ac:dyDescent="0.25">
      <c r="A88" s="15">
        <v>1698</v>
      </c>
      <c r="B88" s="12">
        <v>-28283267.300000001</v>
      </c>
    </row>
    <row r="89" spans="1:2" x14ac:dyDescent="0.25">
      <c r="A89" s="15">
        <v>1730243</v>
      </c>
      <c r="B89" s="12">
        <v>1092301.1599999999</v>
      </c>
    </row>
    <row r="90" spans="1:2" x14ac:dyDescent="0.25">
      <c r="A90" s="15">
        <v>1860143</v>
      </c>
      <c r="B90" s="12">
        <v>359.2</v>
      </c>
    </row>
    <row r="91" spans="1:2" x14ac:dyDescent="0.25">
      <c r="A91" s="15">
        <v>1860161</v>
      </c>
      <c r="B91" s="12">
        <v>644850</v>
      </c>
    </row>
    <row r="92" spans="1:2" x14ac:dyDescent="0.25">
      <c r="A92" s="15">
        <v>1860291</v>
      </c>
      <c r="B92" s="12">
        <v>46207153.07</v>
      </c>
    </row>
    <row r="93" spans="1:2" x14ac:dyDescent="0.25">
      <c r="A93" s="15">
        <v>2203281</v>
      </c>
      <c r="B93" s="12">
        <v>1248</v>
      </c>
    </row>
    <row r="94" spans="1:2" x14ac:dyDescent="0.25">
      <c r="A94" s="15">
        <v>2204193</v>
      </c>
      <c r="B94" s="12">
        <v>332726495.05000001</v>
      </c>
    </row>
    <row r="95" spans="1:2" x14ac:dyDescent="0.25">
      <c r="A95" s="15">
        <v>2215171</v>
      </c>
      <c r="B95" s="12">
        <v>411089296.63</v>
      </c>
    </row>
    <row r="96" spans="1:2" x14ac:dyDescent="0.25">
      <c r="A96" s="15">
        <v>2215173</v>
      </c>
      <c r="B96" s="12">
        <v>18267962.09</v>
      </c>
    </row>
    <row r="97" spans="1:2" x14ac:dyDescent="0.25">
      <c r="A97" s="15">
        <v>2227191</v>
      </c>
      <c r="B97" s="12">
        <v>600162572.76999998</v>
      </c>
    </row>
    <row r="98" spans="1:2" x14ac:dyDescent="0.25">
      <c r="A98" s="15">
        <v>2237172</v>
      </c>
      <c r="B98" s="12">
        <v>27324892.920000002</v>
      </c>
    </row>
    <row r="99" spans="1:2" x14ac:dyDescent="0.25">
      <c r="A99" s="15">
        <v>2240173</v>
      </c>
      <c r="B99" s="12">
        <v>46877110.159999996</v>
      </c>
    </row>
    <row r="100" spans="1:2" x14ac:dyDescent="0.25">
      <c r="A100" s="15">
        <v>2770171</v>
      </c>
      <c r="B100" s="12">
        <v>182750342</v>
      </c>
    </row>
    <row r="101" spans="1:2" x14ac:dyDescent="0.25">
      <c r="A101" s="15">
        <v>2860191</v>
      </c>
      <c r="B101" s="12">
        <v>3263472.86</v>
      </c>
    </row>
    <row r="102" spans="1:2" x14ac:dyDescent="0.25">
      <c r="A102" s="15">
        <v>2869172</v>
      </c>
      <c r="B102" s="12">
        <v>3056153.41</v>
      </c>
    </row>
    <row r="103" spans="1:2" x14ac:dyDescent="0.25">
      <c r="A103" s="15">
        <v>4103</v>
      </c>
      <c r="B103" s="12">
        <v>26346875.579999998</v>
      </c>
    </row>
    <row r="104" spans="1:2" x14ac:dyDescent="0.25">
      <c r="A104" s="15">
        <v>2870292</v>
      </c>
      <c r="B104" s="12">
        <v>94262175</v>
      </c>
    </row>
    <row r="105" spans="1:2" x14ac:dyDescent="0.25">
      <c r="A105" s="15">
        <v>4603</v>
      </c>
      <c r="B105" s="12">
        <v>23571698.010000002</v>
      </c>
    </row>
    <row r="106" spans="1:2" x14ac:dyDescent="0.25">
      <c r="A106" s="15">
        <v>4608</v>
      </c>
      <c r="B106" s="12">
        <v>3433444614.7800002</v>
      </c>
    </row>
    <row r="107" spans="1:2" x14ac:dyDescent="0.25">
      <c r="A107" s="15">
        <v>4734</v>
      </c>
      <c r="B107" s="12">
        <v>45438133.909999996</v>
      </c>
    </row>
    <row r="108" spans="1:2" x14ac:dyDescent="0.25">
      <c r="A108" s="15">
        <v>5227</v>
      </c>
      <c r="B108" s="12">
        <v>249227239.34999999</v>
      </c>
    </row>
    <row r="109" spans="1:2" x14ac:dyDescent="0.25">
      <c r="A109" s="15">
        <v>5610</v>
      </c>
      <c r="B109" s="12">
        <v>391126.21</v>
      </c>
    </row>
    <row r="110" spans="1:2" x14ac:dyDescent="0.25">
      <c r="A110" s="15">
        <v>5749</v>
      </c>
      <c r="B110" s="12">
        <v>292164190.60000002</v>
      </c>
    </row>
    <row r="111" spans="1:2" x14ac:dyDescent="0.25">
      <c r="A111" s="15">
        <v>7303</v>
      </c>
      <c r="B111" s="12">
        <v>777068137407.33997</v>
      </c>
    </row>
    <row r="112" spans="1:2" x14ac:dyDescent="0.25">
      <c r="A112" s="15">
        <v>6125</v>
      </c>
      <c r="B112" s="12">
        <v>127401460017.74001</v>
      </c>
    </row>
    <row r="113" spans="1:2" x14ac:dyDescent="0.25">
      <c r="A113" s="15">
        <v>1793191</v>
      </c>
      <c r="B113" s="12">
        <v>260302.9</v>
      </c>
    </row>
    <row r="114" spans="1:2" x14ac:dyDescent="0.25">
      <c r="A114" s="15">
        <v>1799271</v>
      </c>
      <c r="B114" s="12">
        <v>36208683.960000001</v>
      </c>
    </row>
    <row r="115" spans="1:2" x14ac:dyDescent="0.25">
      <c r="A115" s="15">
        <v>1877192</v>
      </c>
      <c r="B115" s="12">
        <v>-4498900.2300000004</v>
      </c>
    </row>
    <row r="116" spans="1:2" x14ac:dyDescent="0.25">
      <c r="A116" s="15">
        <v>2203273</v>
      </c>
      <c r="B116" s="12">
        <v>66442543.32</v>
      </c>
    </row>
    <row r="117" spans="1:2" x14ac:dyDescent="0.25">
      <c r="A117" s="15">
        <v>2211173</v>
      </c>
      <c r="B117" s="12">
        <v>135050.22</v>
      </c>
    </row>
    <row r="118" spans="1:2" x14ac:dyDescent="0.25">
      <c r="A118" s="15">
        <v>2770111</v>
      </c>
      <c r="B118" s="12">
        <v>17875524</v>
      </c>
    </row>
    <row r="119" spans="1:2" x14ac:dyDescent="0.25">
      <c r="A119" s="15">
        <v>2799191</v>
      </c>
      <c r="B119" s="12">
        <v>38500</v>
      </c>
    </row>
    <row r="120" spans="1:2" x14ac:dyDescent="0.25">
      <c r="A120" s="15">
        <v>2860192</v>
      </c>
      <c r="B120" s="12">
        <v>280769026.45999998</v>
      </c>
    </row>
    <row r="121" spans="1:2" x14ac:dyDescent="0.25">
      <c r="A121" s="15">
        <v>4411</v>
      </c>
      <c r="B121" s="12">
        <v>5517314643.3599997</v>
      </c>
    </row>
    <row r="122" spans="1:2" x14ac:dyDescent="0.25">
      <c r="A122" s="15">
        <v>4481</v>
      </c>
      <c r="B122" s="12">
        <v>518433257.19999999</v>
      </c>
    </row>
    <row r="123" spans="1:2" x14ac:dyDescent="0.25">
      <c r="A123" s="15">
        <v>5308</v>
      </c>
      <c r="B123" s="12">
        <v>228504766.72</v>
      </c>
    </row>
    <row r="124" spans="1:2" x14ac:dyDescent="0.25">
      <c r="A124" s="15">
        <v>5745</v>
      </c>
      <c r="B124" s="12">
        <v>217609210.13</v>
      </c>
    </row>
    <row r="125" spans="1:2" x14ac:dyDescent="0.25">
      <c r="A125" s="15">
        <v>5765</v>
      </c>
      <c r="B125" s="12">
        <v>30611244</v>
      </c>
    </row>
    <row r="126" spans="1:2" x14ac:dyDescent="0.25">
      <c r="A126" s="15">
        <v>181311</v>
      </c>
      <c r="B126" s="12">
        <v>1673.24</v>
      </c>
    </row>
    <row r="127" spans="1:2" x14ac:dyDescent="0.25">
      <c r="A127" s="15">
        <v>183812</v>
      </c>
      <c r="B127" s="12">
        <v>230.47</v>
      </c>
    </row>
    <row r="128" spans="1:2" x14ac:dyDescent="0.25">
      <c r="A128" s="15">
        <v>1476151</v>
      </c>
      <c r="B128" s="12">
        <v>200000</v>
      </c>
    </row>
    <row r="129" spans="1:2" x14ac:dyDescent="0.25">
      <c r="A129" s="15">
        <v>1302242</v>
      </c>
      <c r="B129" s="12">
        <v>4193634031.6999998</v>
      </c>
    </row>
    <row r="130" spans="1:2" x14ac:dyDescent="0.25">
      <c r="A130" s="15">
        <v>183721</v>
      </c>
      <c r="B130" s="12">
        <v>11516567.050000001</v>
      </c>
    </row>
    <row r="131" spans="1:2" x14ac:dyDescent="0.25">
      <c r="A131" s="15">
        <v>1855241</v>
      </c>
      <c r="B131" s="12">
        <v>399529.13</v>
      </c>
    </row>
    <row r="132" spans="1:2" x14ac:dyDescent="0.25">
      <c r="A132" s="15">
        <v>1867181</v>
      </c>
      <c r="B132" s="12">
        <v>62620</v>
      </c>
    </row>
    <row r="133" spans="1:2" x14ac:dyDescent="0.25">
      <c r="A133" s="15">
        <v>2206193</v>
      </c>
      <c r="B133" s="12">
        <v>255367047.13999999</v>
      </c>
    </row>
    <row r="134" spans="1:2" x14ac:dyDescent="0.25">
      <c r="A134" s="15">
        <v>2206192</v>
      </c>
      <c r="B134" s="12">
        <v>2927947981.6999998</v>
      </c>
    </row>
    <row r="135" spans="1:2" x14ac:dyDescent="0.25">
      <c r="A135" s="15">
        <v>2207292</v>
      </c>
      <c r="B135" s="12">
        <v>94980026.909999996</v>
      </c>
    </row>
    <row r="136" spans="1:2" x14ac:dyDescent="0.25">
      <c r="A136" s="15">
        <v>2206292</v>
      </c>
      <c r="B136" s="12">
        <v>144966901.34999999</v>
      </c>
    </row>
    <row r="137" spans="1:2" x14ac:dyDescent="0.25">
      <c r="A137" s="15">
        <v>2229192</v>
      </c>
      <c r="B137" s="12">
        <v>458897893.06</v>
      </c>
    </row>
    <row r="138" spans="1:2" x14ac:dyDescent="0.25">
      <c r="A138" s="15">
        <v>2721192</v>
      </c>
      <c r="B138" s="12">
        <v>56.44</v>
      </c>
    </row>
    <row r="139" spans="1:2" x14ac:dyDescent="0.25">
      <c r="A139" s="15">
        <v>281823</v>
      </c>
      <c r="B139" s="12">
        <v>8980</v>
      </c>
    </row>
    <row r="140" spans="1:2" x14ac:dyDescent="0.25">
      <c r="A140" s="15">
        <v>2860292</v>
      </c>
      <c r="B140" s="12">
        <v>131.69999999999999</v>
      </c>
    </row>
    <row r="141" spans="1:2" x14ac:dyDescent="0.25">
      <c r="A141" s="15">
        <v>2869151</v>
      </c>
      <c r="B141" s="12">
        <v>59480.42</v>
      </c>
    </row>
    <row r="142" spans="1:2" x14ac:dyDescent="0.25">
      <c r="A142" s="15">
        <v>3599</v>
      </c>
      <c r="B142" s="12">
        <v>4329388140.7200003</v>
      </c>
    </row>
    <row r="143" spans="1:2" x14ac:dyDescent="0.25">
      <c r="A143" s="15">
        <v>4429</v>
      </c>
      <c r="B143" s="12">
        <v>34382763.259999998</v>
      </c>
    </row>
    <row r="144" spans="1:2" x14ac:dyDescent="0.25">
      <c r="A144" s="15">
        <v>4452</v>
      </c>
      <c r="B144" s="12">
        <v>282524837.32999998</v>
      </c>
    </row>
    <row r="145" spans="1:2" x14ac:dyDescent="0.25">
      <c r="A145" s="15">
        <v>5215</v>
      </c>
      <c r="B145" s="12">
        <v>3086372338.1599998</v>
      </c>
    </row>
    <row r="146" spans="1:2" x14ac:dyDescent="0.25">
      <c r="A146" s="15">
        <v>5223</v>
      </c>
      <c r="B146" s="12">
        <v>60039050.710000001</v>
      </c>
    </row>
    <row r="147" spans="1:2" x14ac:dyDescent="0.25">
      <c r="A147" s="15">
        <v>5604</v>
      </c>
      <c r="B147" s="12">
        <v>48548899</v>
      </c>
    </row>
    <row r="148" spans="1:2" x14ac:dyDescent="0.25">
      <c r="A148" s="15">
        <v>5748</v>
      </c>
      <c r="B148" s="12">
        <v>167380245.96000001</v>
      </c>
    </row>
    <row r="149" spans="1:2" x14ac:dyDescent="0.25">
      <c r="A149" s="15">
        <v>5722</v>
      </c>
      <c r="B149" s="12">
        <v>417897739</v>
      </c>
    </row>
    <row r="150" spans="1:2" x14ac:dyDescent="0.25">
      <c r="A150" s="15">
        <v>5742</v>
      </c>
      <c r="B150" s="12">
        <v>1719892851.0799999</v>
      </c>
    </row>
    <row r="151" spans="1:2" x14ac:dyDescent="0.25">
      <c r="A151" s="15">
        <v>5892</v>
      </c>
      <c r="B151" s="12">
        <v>303492290.63999999</v>
      </c>
    </row>
    <row r="152" spans="1:2" x14ac:dyDescent="0.25">
      <c r="A152" s="15">
        <v>1741171</v>
      </c>
      <c r="B152" s="12">
        <v>192540832.19</v>
      </c>
    </row>
    <row r="153" spans="1:2" x14ac:dyDescent="0.25">
      <c r="A153" s="15">
        <v>1740191</v>
      </c>
      <c r="B153" s="12">
        <v>1557535914.3099999</v>
      </c>
    </row>
    <row r="154" spans="1:2" x14ac:dyDescent="0.25">
      <c r="A154" s="15">
        <v>1652</v>
      </c>
      <c r="B154" s="12">
        <v>3099595096.9899998</v>
      </c>
    </row>
    <row r="155" spans="1:2" x14ac:dyDescent="0.25">
      <c r="A155" s="15">
        <v>184111</v>
      </c>
      <c r="B155" s="12">
        <v>5666942.75</v>
      </c>
    </row>
    <row r="156" spans="1:2" x14ac:dyDescent="0.25">
      <c r="A156" s="15">
        <v>1879171</v>
      </c>
      <c r="B156" s="12">
        <v>102600</v>
      </c>
    </row>
    <row r="157" spans="1:2" x14ac:dyDescent="0.25">
      <c r="A157" s="15">
        <v>2211171</v>
      </c>
      <c r="B157" s="12">
        <v>1866152.93</v>
      </c>
    </row>
    <row r="158" spans="1:2" x14ac:dyDescent="0.25">
      <c r="A158" s="15">
        <v>2860151</v>
      </c>
      <c r="B158" s="12">
        <v>2905751.35</v>
      </c>
    </row>
    <row r="159" spans="1:2" x14ac:dyDescent="0.25">
      <c r="A159" s="15">
        <v>2860172</v>
      </c>
      <c r="B159" s="12">
        <v>4945041.88</v>
      </c>
    </row>
    <row r="160" spans="1:2" x14ac:dyDescent="0.25">
      <c r="A160" s="15">
        <v>5240</v>
      </c>
      <c r="B160" s="12">
        <v>5427271243.3800001</v>
      </c>
    </row>
    <row r="161" spans="1:2" x14ac:dyDescent="0.25">
      <c r="A161" s="15">
        <v>5217</v>
      </c>
      <c r="B161" s="12">
        <v>1903053723.01</v>
      </c>
    </row>
    <row r="162" spans="1:2" x14ac:dyDescent="0.25">
      <c r="A162" s="15">
        <v>1417171</v>
      </c>
      <c r="B162" s="12">
        <v>2916875882.7600002</v>
      </c>
    </row>
    <row r="163" spans="1:2" x14ac:dyDescent="0.25">
      <c r="A163" s="15">
        <v>1793171</v>
      </c>
      <c r="B163" s="12">
        <v>543040766.54999995</v>
      </c>
    </row>
    <row r="164" spans="1:2" x14ac:dyDescent="0.25">
      <c r="A164" s="15">
        <v>1799191</v>
      </c>
      <c r="B164" s="12">
        <v>24627729</v>
      </c>
    </row>
    <row r="165" spans="1:2" x14ac:dyDescent="0.25">
      <c r="A165" s="15">
        <v>1856171</v>
      </c>
      <c r="B165" s="12">
        <v>355943079</v>
      </c>
    </row>
    <row r="166" spans="1:2" x14ac:dyDescent="0.25">
      <c r="A166" s="15">
        <v>1860151</v>
      </c>
      <c r="B166" s="12">
        <v>21813673.77</v>
      </c>
    </row>
    <row r="167" spans="1:2" x14ac:dyDescent="0.25">
      <c r="A167" s="15">
        <v>1878111</v>
      </c>
      <c r="B167" s="12">
        <v>-80150242.819999993</v>
      </c>
    </row>
    <row r="168" spans="1:2" x14ac:dyDescent="0.25">
      <c r="A168" s="15">
        <v>1867161</v>
      </c>
      <c r="B168" s="12">
        <v>284607.94</v>
      </c>
    </row>
    <row r="169" spans="1:2" x14ac:dyDescent="0.25">
      <c r="A169" s="15">
        <v>2217171</v>
      </c>
      <c r="B169" s="12">
        <v>82367101</v>
      </c>
    </row>
    <row r="170" spans="1:2" x14ac:dyDescent="0.25">
      <c r="A170" s="15">
        <v>2229292</v>
      </c>
      <c r="B170" s="12">
        <v>143614560.99000001</v>
      </c>
    </row>
    <row r="171" spans="1:2" x14ac:dyDescent="0.25">
      <c r="A171" s="15">
        <v>2240161</v>
      </c>
      <c r="B171" s="12">
        <v>164948907.88999999</v>
      </c>
    </row>
    <row r="172" spans="1:2" x14ac:dyDescent="0.25">
      <c r="A172" s="15">
        <v>2724292</v>
      </c>
      <c r="B172" s="12">
        <v>14.11</v>
      </c>
    </row>
    <row r="173" spans="1:2" x14ac:dyDescent="0.25">
      <c r="A173" s="15">
        <v>2730141</v>
      </c>
      <c r="B173" s="12">
        <v>87414711.939999998</v>
      </c>
    </row>
    <row r="174" spans="1:2" x14ac:dyDescent="0.25">
      <c r="A174" s="15">
        <v>2870142</v>
      </c>
      <c r="B174" s="12">
        <v>52111762.880000003</v>
      </c>
    </row>
    <row r="175" spans="1:2" x14ac:dyDescent="0.25">
      <c r="A175" s="15">
        <v>3540</v>
      </c>
      <c r="B175" s="12">
        <v>623692315.38999999</v>
      </c>
    </row>
    <row r="176" spans="1:2" x14ac:dyDescent="0.25">
      <c r="A176" s="15">
        <v>4254</v>
      </c>
      <c r="B176" s="12">
        <v>10591250.92</v>
      </c>
    </row>
    <row r="177" spans="1:2" x14ac:dyDescent="0.25">
      <c r="A177" s="15">
        <v>4424</v>
      </c>
      <c r="B177" s="12">
        <v>645933383.11000001</v>
      </c>
    </row>
    <row r="178" spans="1:2" x14ac:dyDescent="0.25">
      <c r="A178" s="15">
        <v>4604</v>
      </c>
      <c r="B178" s="12">
        <v>428131165.69999999</v>
      </c>
    </row>
    <row r="179" spans="1:2" x14ac:dyDescent="0.25">
      <c r="A179" s="15">
        <v>5753</v>
      </c>
      <c r="B179" s="12">
        <v>873936267.10000002</v>
      </c>
    </row>
    <row r="180" spans="1:2" x14ac:dyDescent="0.25">
      <c r="A180" s="15">
        <v>5721</v>
      </c>
      <c r="B180" s="12">
        <v>23649853353</v>
      </c>
    </row>
    <row r="181" spans="1:2" x14ac:dyDescent="0.25">
      <c r="A181" s="15">
        <v>5763</v>
      </c>
      <c r="B181" s="12">
        <v>1867549469</v>
      </c>
    </row>
    <row r="182" spans="1:2" x14ac:dyDescent="0.25">
      <c r="A182" s="15">
        <v>1657</v>
      </c>
      <c r="B182" s="12">
        <v>1100391529.46</v>
      </c>
    </row>
    <row r="183" spans="1:2" x14ac:dyDescent="0.25">
      <c r="A183" s="15">
        <v>1054242</v>
      </c>
      <c r="B183" s="12">
        <v>-1075540.22</v>
      </c>
    </row>
    <row r="184" spans="1:2" x14ac:dyDescent="0.25">
      <c r="A184" s="15">
        <v>1697</v>
      </c>
      <c r="B184" s="12">
        <v>-683139609.97000003</v>
      </c>
    </row>
    <row r="185" spans="1:2" x14ac:dyDescent="0.25">
      <c r="A185" s="15">
        <v>183611</v>
      </c>
      <c r="B185" s="12">
        <v>2394807.96</v>
      </c>
    </row>
    <row r="186" spans="1:2" x14ac:dyDescent="0.25">
      <c r="A186" s="15">
        <v>1495151</v>
      </c>
      <c r="B186" s="12">
        <v>-142822</v>
      </c>
    </row>
    <row r="187" spans="1:2" x14ac:dyDescent="0.25">
      <c r="A187" s="15">
        <v>1867171</v>
      </c>
      <c r="B187" s="12">
        <v>958438235.65999997</v>
      </c>
    </row>
    <row r="188" spans="1:2" x14ac:dyDescent="0.25">
      <c r="A188" s="15">
        <v>1867191</v>
      </c>
      <c r="B188" s="12">
        <v>5639595.6900000004</v>
      </c>
    </row>
    <row r="189" spans="1:2" x14ac:dyDescent="0.25">
      <c r="A189" s="15">
        <v>2204191</v>
      </c>
      <c r="B189" s="12">
        <v>5903597618.3199997</v>
      </c>
    </row>
    <row r="190" spans="1:2" x14ac:dyDescent="0.25">
      <c r="A190" s="15">
        <v>2215161</v>
      </c>
      <c r="B190" s="12">
        <v>1000000</v>
      </c>
    </row>
    <row r="191" spans="1:2" x14ac:dyDescent="0.25">
      <c r="A191" s="15">
        <v>2237273</v>
      </c>
      <c r="B191" s="12">
        <v>6879398.4000000004</v>
      </c>
    </row>
    <row r="192" spans="1:2" x14ac:dyDescent="0.25">
      <c r="A192" s="15">
        <v>2240172</v>
      </c>
      <c r="B192" s="12">
        <v>298129795.94999999</v>
      </c>
    </row>
    <row r="193" spans="1:2" x14ac:dyDescent="0.25">
      <c r="A193" s="15">
        <v>2794181</v>
      </c>
      <c r="B193" s="12">
        <v>30000</v>
      </c>
    </row>
    <row r="194" spans="1:2" x14ac:dyDescent="0.25">
      <c r="A194" s="15">
        <v>4253</v>
      </c>
      <c r="B194" s="12">
        <v>30742027.379999999</v>
      </c>
    </row>
    <row r="195" spans="1:2" x14ac:dyDescent="0.25">
      <c r="A195" s="15">
        <v>4611</v>
      </c>
      <c r="B195" s="12">
        <v>1147641849.0599999</v>
      </c>
    </row>
    <row r="196" spans="1:2" x14ac:dyDescent="0.25">
      <c r="A196" s="15">
        <v>4601</v>
      </c>
      <c r="B196" s="12">
        <v>990450979.87</v>
      </c>
    </row>
    <row r="197" spans="1:2" x14ac:dyDescent="0.25">
      <c r="A197" s="15">
        <v>5127</v>
      </c>
      <c r="B197" s="12">
        <v>5289014.3899999997</v>
      </c>
    </row>
    <row r="198" spans="1:2" x14ac:dyDescent="0.25">
      <c r="A198" s="15">
        <v>5729</v>
      </c>
      <c r="B198" s="12">
        <v>182949575.53999999</v>
      </c>
    </row>
    <row r="199" spans="1:2" x14ac:dyDescent="0.25">
      <c r="A199" s="15">
        <v>5734</v>
      </c>
      <c r="B199" s="12">
        <v>1664719.59</v>
      </c>
    </row>
    <row r="200" spans="1:2" x14ac:dyDescent="0.25">
      <c r="A200" s="15">
        <v>5465</v>
      </c>
      <c r="B200" s="12">
        <v>228310764.5</v>
      </c>
    </row>
    <row r="201" spans="1:2" x14ac:dyDescent="0.25">
      <c r="A201" s="15">
        <v>7110</v>
      </c>
      <c r="B201" s="12">
        <v>880087789.04999995</v>
      </c>
    </row>
    <row r="202" spans="1:2" x14ac:dyDescent="0.25">
      <c r="A202" s="15">
        <v>1728252</v>
      </c>
      <c r="B202" s="12">
        <v>121173162.72</v>
      </c>
    </row>
    <row r="203" spans="1:2" x14ac:dyDescent="0.25">
      <c r="A203" s="15">
        <v>1434171</v>
      </c>
      <c r="B203" s="12">
        <v>-113660616.42</v>
      </c>
    </row>
    <row r="204" spans="1:2" x14ac:dyDescent="0.25">
      <c r="A204" s="15">
        <v>1856271</v>
      </c>
      <c r="B204" s="12">
        <v>49699094.350000001</v>
      </c>
    </row>
    <row r="205" spans="1:2" x14ac:dyDescent="0.25">
      <c r="A205" s="15">
        <v>2227171</v>
      </c>
      <c r="B205" s="12">
        <v>3698230010.1900001</v>
      </c>
    </row>
    <row r="206" spans="1:2" x14ac:dyDescent="0.25">
      <c r="A206" s="15">
        <v>4265</v>
      </c>
      <c r="B206" s="12">
        <v>1909646.03</v>
      </c>
    </row>
    <row r="207" spans="1:2" x14ac:dyDescent="0.25">
      <c r="A207" s="15">
        <v>5607</v>
      </c>
      <c r="B207" s="12">
        <v>2853674.19</v>
      </c>
    </row>
    <row r="208" spans="1:2" x14ac:dyDescent="0.25">
      <c r="A208" s="15">
        <v>1001233</v>
      </c>
      <c r="B208" s="12">
        <v>2215266241.1799998</v>
      </c>
    </row>
    <row r="209" spans="1:2" x14ac:dyDescent="0.25">
      <c r="A209" s="15">
        <v>1411191</v>
      </c>
      <c r="B209" s="12">
        <v>5794206645.3199997</v>
      </c>
    </row>
    <row r="210" spans="1:2" x14ac:dyDescent="0.25">
      <c r="A210" s="15">
        <v>2203253</v>
      </c>
      <c r="B210" s="12">
        <v>898018.5</v>
      </c>
    </row>
    <row r="211" spans="1:2" x14ac:dyDescent="0.25">
      <c r="A211" s="15">
        <v>1877292</v>
      </c>
      <c r="B211" s="12">
        <v>-27764.84</v>
      </c>
    </row>
    <row r="212" spans="1:2" x14ac:dyDescent="0.25">
      <c r="A212" s="15">
        <v>2207191</v>
      </c>
      <c r="B212" s="12">
        <v>7213396856.8400002</v>
      </c>
    </row>
    <row r="213" spans="1:2" x14ac:dyDescent="0.25">
      <c r="A213" s="15">
        <v>2799241</v>
      </c>
      <c r="B213" s="12">
        <v>650000</v>
      </c>
    </row>
    <row r="214" spans="1:2" x14ac:dyDescent="0.25">
      <c r="A214" s="15">
        <v>281821</v>
      </c>
      <c r="B214" s="12">
        <v>72828228</v>
      </c>
    </row>
    <row r="215" spans="1:2" x14ac:dyDescent="0.25">
      <c r="A215" s="15">
        <v>2854</v>
      </c>
      <c r="B215" s="12">
        <v>1626265802.3900001</v>
      </c>
    </row>
    <row r="216" spans="1:2" x14ac:dyDescent="0.25">
      <c r="A216" s="15">
        <v>4453</v>
      </c>
      <c r="B216" s="12">
        <v>176514920.5</v>
      </c>
    </row>
    <row r="217" spans="1:2" x14ac:dyDescent="0.25">
      <c r="A217" s="15">
        <v>4954</v>
      </c>
      <c r="B217" s="12">
        <v>70565.22</v>
      </c>
    </row>
    <row r="218" spans="1:2" x14ac:dyDescent="0.25">
      <c r="A218" s="15">
        <v>5219</v>
      </c>
      <c r="B218" s="12">
        <v>217818312.97</v>
      </c>
    </row>
    <row r="219" spans="1:2" x14ac:dyDescent="0.25">
      <c r="A219" s="15">
        <v>5611</v>
      </c>
      <c r="B219" s="12">
        <v>748623.56</v>
      </c>
    </row>
    <row r="220" spans="1:2" x14ac:dyDescent="0.25">
      <c r="A220" s="15">
        <v>5744</v>
      </c>
      <c r="B220" s="12">
        <v>38727290.850000001</v>
      </c>
    </row>
    <row r="221" spans="1:2" x14ac:dyDescent="0.25">
      <c r="A221" s="15">
        <v>1741291</v>
      </c>
      <c r="B221" s="12">
        <v>53294.65</v>
      </c>
    </row>
    <row r="222" spans="1:2" x14ac:dyDescent="0.25">
      <c r="A222" s="15">
        <v>1658</v>
      </c>
      <c r="B222" s="12">
        <v>37975716</v>
      </c>
    </row>
    <row r="223" spans="1:2" x14ac:dyDescent="0.25">
      <c r="A223" s="15">
        <v>1403191</v>
      </c>
      <c r="B223" s="12">
        <v>48567952898.980003</v>
      </c>
    </row>
    <row r="224" spans="1:2" x14ac:dyDescent="0.25">
      <c r="A224" s="15">
        <v>1001131</v>
      </c>
      <c r="B224" s="12">
        <v>10526217851</v>
      </c>
    </row>
    <row r="225" spans="1:2" x14ac:dyDescent="0.25">
      <c r="A225" s="15">
        <v>1857</v>
      </c>
      <c r="B225" s="12">
        <v>569312202.75999999</v>
      </c>
    </row>
    <row r="226" spans="1:2" x14ac:dyDescent="0.25">
      <c r="A226" s="15">
        <v>1877161</v>
      </c>
      <c r="B226" s="12">
        <v>-1343850</v>
      </c>
    </row>
    <row r="227" spans="1:2" x14ac:dyDescent="0.25">
      <c r="A227" s="15">
        <v>1877171</v>
      </c>
      <c r="B227" s="12">
        <v>-272795960.91000003</v>
      </c>
    </row>
    <row r="228" spans="1:2" x14ac:dyDescent="0.25">
      <c r="A228" s="15">
        <v>1877272</v>
      </c>
      <c r="B228" s="12">
        <v>-4747992.9400000004</v>
      </c>
    </row>
    <row r="229" spans="1:2" x14ac:dyDescent="0.25">
      <c r="A229" s="15">
        <v>2204192</v>
      </c>
      <c r="B229" s="12">
        <v>6515566964.6099997</v>
      </c>
    </row>
    <row r="230" spans="1:2" x14ac:dyDescent="0.25">
      <c r="A230" s="15">
        <v>2223171</v>
      </c>
      <c r="B230" s="12">
        <v>9708.59</v>
      </c>
    </row>
    <row r="231" spans="1:2" x14ac:dyDescent="0.25">
      <c r="A231" s="15">
        <v>2240171</v>
      </c>
      <c r="B231" s="12">
        <v>1284107482.9000001</v>
      </c>
    </row>
    <row r="232" spans="1:2" x14ac:dyDescent="0.25">
      <c r="A232" s="15">
        <v>2724181</v>
      </c>
      <c r="B232" s="12">
        <v>7438.8</v>
      </c>
    </row>
    <row r="233" spans="1:2" x14ac:dyDescent="0.25">
      <c r="A233" s="15">
        <v>2306141</v>
      </c>
      <c r="B233" s="12">
        <v>-10496344000</v>
      </c>
    </row>
    <row r="234" spans="1:2" x14ac:dyDescent="0.25">
      <c r="A234" s="15">
        <v>2860171</v>
      </c>
      <c r="B234" s="12">
        <v>197008463.19</v>
      </c>
    </row>
    <row r="235" spans="1:2" x14ac:dyDescent="0.25">
      <c r="A235" s="15">
        <v>2870242</v>
      </c>
      <c r="B235" s="12">
        <v>56299698</v>
      </c>
    </row>
    <row r="236" spans="1:2" x14ac:dyDescent="0.25">
      <c r="A236" s="15">
        <v>2870172</v>
      </c>
      <c r="B236" s="12">
        <v>2352255</v>
      </c>
    </row>
    <row r="237" spans="1:2" x14ac:dyDescent="0.25">
      <c r="A237" s="15">
        <v>4607</v>
      </c>
      <c r="B237" s="12">
        <v>2520589319.1500001</v>
      </c>
    </row>
    <row r="238" spans="1:2" x14ac:dyDescent="0.25">
      <c r="A238" s="15">
        <v>4952</v>
      </c>
      <c r="B238" s="12">
        <v>38303852.729999997</v>
      </c>
    </row>
    <row r="239" spans="1:2" x14ac:dyDescent="0.25">
      <c r="A239" s="15">
        <v>5451</v>
      </c>
      <c r="B239" s="12">
        <v>305715.90000000002</v>
      </c>
    </row>
    <row r="240" spans="1:2" x14ac:dyDescent="0.25">
      <c r="A240" s="15">
        <v>5601</v>
      </c>
      <c r="B240" s="12">
        <v>178837109.78</v>
      </c>
    </row>
    <row r="241" spans="1:2" x14ac:dyDescent="0.25">
      <c r="A241" s="15">
        <v>5750</v>
      </c>
      <c r="B241" s="12">
        <v>1578808690.77</v>
      </c>
    </row>
    <row r="242" spans="1:2" x14ac:dyDescent="0.25">
      <c r="A242" s="15">
        <v>5784</v>
      </c>
      <c r="B242" s="12">
        <v>517095606.32999998</v>
      </c>
    </row>
    <row r="243" spans="1:2" x14ac:dyDescent="0.25">
      <c r="A243" s="15">
        <v>1495252</v>
      </c>
      <c r="B243" s="12">
        <v>-774842.82</v>
      </c>
    </row>
    <row r="244" spans="1:2" x14ac:dyDescent="0.25">
      <c r="A244" s="15">
        <v>1267171</v>
      </c>
      <c r="B244" s="12">
        <v>30000000</v>
      </c>
    </row>
    <row r="245" spans="1:2" x14ac:dyDescent="0.25">
      <c r="A245" s="15">
        <v>1403291</v>
      </c>
      <c r="B245" s="12">
        <v>3327383.68</v>
      </c>
    </row>
    <row r="246" spans="1:2" x14ac:dyDescent="0.25">
      <c r="A246" s="15">
        <v>1878291</v>
      </c>
      <c r="B246" s="12">
        <v>-1886412.5</v>
      </c>
    </row>
    <row r="247" spans="1:2" x14ac:dyDescent="0.25">
      <c r="A247" s="15">
        <v>2707192</v>
      </c>
      <c r="B247" s="12">
        <v>96541.99</v>
      </c>
    </row>
    <row r="248" spans="1:2" x14ac:dyDescent="0.25">
      <c r="A248" s="15">
        <v>4895</v>
      </c>
      <c r="B248" s="12">
        <v>8174524763.8999996</v>
      </c>
    </row>
    <row r="249" spans="1:2" x14ac:dyDescent="0.25">
      <c r="A249" s="15">
        <v>6626</v>
      </c>
      <c r="B249" s="12">
        <v>20858053386.790001</v>
      </c>
    </row>
    <row r="250" spans="1:2" x14ac:dyDescent="0.25">
      <c r="A250" s="15">
        <v>1654</v>
      </c>
      <c r="B250" s="12">
        <v>5462503705.75</v>
      </c>
    </row>
    <row r="251" spans="1:2" x14ac:dyDescent="0.25">
      <c r="A251" s="15">
        <v>2214192</v>
      </c>
      <c r="B251" s="12">
        <v>45322479.780000001</v>
      </c>
    </row>
    <row r="252" spans="1:2" x14ac:dyDescent="0.25">
      <c r="A252" s="15">
        <v>4921</v>
      </c>
      <c r="B252" s="12">
        <v>93530499.599999994</v>
      </c>
    </row>
    <row r="253" spans="1:2" x14ac:dyDescent="0.25">
      <c r="A253" s="15">
        <v>5752</v>
      </c>
      <c r="B253" s="12">
        <v>47306130.490000002</v>
      </c>
    </row>
    <row r="254" spans="1:2" x14ac:dyDescent="0.25">
      <c r="A254" s="15">
        <v>1319242</v>
      </c>
      <c r="B254" s="12">
        <v>-19876121.579999998</v>
      </c>
    </row>
    <row r="255" spans="1:2" x14ac:dyDescent="0.25">
      <c r="A255" s="15">
        <v>1693</v>
      </c>
      <c r="B255" s="12">
        <v>-4381429892.8100004</v>
      </c>
    </row>
    <row r="256" spans="1:2" x14ac:dyDescent="0.25">
      <c r="A256" s="15">
        <v>1855242</v>
      </c>
      <c r="B256" s="12">
        <v>129121546.55</v>
      </c>
    </row>
    <row r="257" spans="1:2" x14ac:dyDescent="0.25">
      <c r="A257" s="15">
        <v>2203271</v>
      </c>
      <c r="B257" s="12">
        <v>783924484.07000005</v>
      </c>
    </row>
    <row r="258" spans="1:2" x14ac:dyDescent="0.25">
      <c r="A258" s="15">
        <v>2237173</v>
      </c>
      <c r="B258" s="12">
        <v>29498289.530000001</v>
      </c>
    </row>
    <row r="259" spans="1:2" x14ac:dyDescent="0.25">
      <c r="A259" s="15">
        <v>2719171</v>
      </c>
      <c r="B259" s="12">
        <v>21871439.07</v>
      </c>
    </row>
    <row r="260" spans="1:2" x14ac:dyDescent="0.25">
      <c r="A260" s="15">
        <v>2870171</v>
      </c>
      <c r="B260" s="12">
        <v>18861382.219999999</v>
      </c>
    </row>
    <row r="261" spans="1:2" x14ac:dyDescent="0.25">
      <c r="A261" s="15">
        <v>5066</v>
      </c>
      <c r="B261" s="12">
        <v>468525508.64999998</v>
      </c>
    </row>
    <row r="262" spans="1:2" x14ac:dyDescent="0.25">
      <c r="A262" s="15">
        <v>5602</v>
      </c>
      <c r="B262" s="12">
        <v>855664784.13999999</v>
      </c>
    </row>
    <row r="263" spans="1:2" x14ac:dyDescent="0.25">
      <c r="A263" s="15">
        <v>5900</v>
      </c>
      <c r="B263" s="12">
        <v>6686529.46</v>
      </c>
    </row>
    <row r="264" spans="1:2" x14ac:dyDescent="0.25">
      <c r="A264" s="15">
        <v>1660</v>
      </c>
      <c r="B264" s="12">
        <v>53788036.450000003</v>
      </c>
    </row>
    <row r="265" spans="1:2" x14ac:dyDescent="0.25">
      <c r="A265" s="15">
        <v>2204293</v>
      </c>
      <c r="B265" s="12">
        <v>1206137101.9300001</v>
      </c>
    </row>
    <row r="266" spans="1:2" x14ac:dyDescent="0.25">
      <c r="A266" s="15">
        <v>2867271</v>
      </c>
      <c r="B266" s="12">
        <v>584430.97</v>
      </c>
    </row>
    <row r="267" spans="1:2" x14ac:dyDescent="0.25">
      <c r="A267" s="15">
        <v>5306</v>
      </c>
      <c r="B267" s="12">
        <v>6562330.0099999998</v>
      </c>
    </row>
    <row r="268" spans="1:2" x14ac:dyDescent="0.25">
      <c r="A268" s="15">
        <v>7220</v>
      </c>
      <c r="B268" s="12">
        <v>21982853.530000001</v>
      </c>
    </row>
    <row r="269" spans="1:2" x14ac:dyDescent="0.25">
      <c r="A269" s="15">
        <v>1793181</v>
      </c>
      <c r="B269" s="12">
        <v>5177944.97</v>
      </c>
    </row>
    <row r="270" spans="1:2" x14ac:dyDescent="0.25">
      <c r="A270" s="15">
        <v>1655</v>
      </c>
      <c r="B270" s="12">
        <v>6827644388.8900003</v>
      </c>
    </row>
    <row r="271" spans="1:2" x14ac:dyDescent="0.25">
      <c r="A271" s="15">
        <v>1002232</v>
      </c>
      <c r="B271" s="12">
        <v>232575385.78999999</v>
      </c>
    </row>
    <row r="272" spans="1:2" x14ac:dyDescent="0.25">
      <c r="A272" s="15">
        <v>1851111</v>
      </c>
      <c r="B272" s="12">
        <v>910322534.87</v>
      </c>
    </row>
    <row r="273" spans="1:2" x14ac:dyDescent="0.25">
      <c r="A273" s="15">
        <v>1860171</v>
      </c>
      <c r="B273" s="12">
        <v>535411682.44</v>
      </c>
    </row>
    <row r="274" spans="1:2" x14ac:dyDescent="0.25">
      <c r="A274" s="15">
        <v>1860152</v>
      </c>
      <c r="B274" s="12">
        <v>1560809.18</v>
      </c>
    </row>
    <row r="275" spans="1:2" x14ac:dyDescent="0.25">
      <c r="A275" s="15">
        <v>1860191</v>
      </c>
      <c r="B275" s="12">
        <v>1993293852.3299999</v>
      </c>
    </row>
    <row r="276" spans="1:2" x14ac:dyDescent="0.25">
      <c r="A276" s="15">
        <v>2204291</v>
      </c>
      <c r="B276" s="12">
        <v>244815194.19999999</v>
      </c>
    </row>
    <row r="277" spans="1:2" x14ac:dyDescent="0.25">
      <c r="A277" s="15">
        <v>2203171</v>
      </c>
      <c r="B277" s="12">
        <v>2862898053.1700001</v>
      </c>
    </row>
    <row r="278" spans="1:2" x14ac:dyDescent="0.25">
      <c r="A278" s="15">
        <v>1879191</v>
      </c>
      <c r="B278" s="12">
        <v>347000</v>
      </c>
    </row>
    <row r="279" spans="1:2" x14ac:dyDescent="0.25">
      <c r="A279" s="15">
        <v>2218181</v>
      </c>
      <c r="B279" s="12">
        <v>585163.21</v>
      </c>
    </row>
    <row r="280" spans="1:2" x14ac:dyDescent="0.25">
      <c r="A280" s="15">
        <v>2229291</v>
      </c>
      <c r="B280" s="12">
        <v>12684682.560000001</v>
      </c>
    </row>
    <row r="281" spans="1:2" x14ac:dyDescent="0.25">
      <c r="A281" s="15">
        <v>2240192</v>
      </c>
      <c r="B281" s="12">
        <v>42573935.109999999</v>
      </c>
    </row>
    <row r="282" spans="1:2" x14ac:dyDescent="0.25">
      <c r="A282" s="15">
        <v>2721191</v>
      </c>
      <c r="B282" s="12">
        <v>8126.03</v>
      </c>
    </row>
    <row r="283" spans="1:2" x14ac:dyDescent="0.25">
      <c r="A283" s="15">
        <v>281911</v>
      </c>
      <c r="B283" s="12">
        <v>6300000</v>
      </c>
    </row>
    <row r="284" spans="1:2" x14ac:dyDescent="0.25">
      <c r="A284" s="15">
        <v>2856171</v>
      </c>
      <c r="B284" s="12">
        <v>30626394.57</v>
      </c>
    </row>
    <row r="285" spans="1:2" x14ac:dyDescent="0.25">
      <c r="A285" s="15">
        <v>2860273</v>
      </c>
      <c r="B285" s="12">
        <v>15884.99</v>
      </c>
    </row>
    <row r="286" spans="1:2" x14ac:dyDescent="0.25">
      <c r="A286" s="15">
        <v>2870141</v>
      </c>
      <c r="B286" s="12">
        <v>21789430.120000001</v>
      </c>
    </row>
    <row r="287" spans="1:2" x14ac:dyDescent="0.25">
      <c r="A287" s="15">
        <v>3101</v>
      </c>
      <c r="B287" s="12">
        <v>22185000</v>
      </c>
    </row>
    <row r="288" spans="1:2" x14ac:dyDescent="0.25">
      <c r="A288" s="15">
        <v>4465</v>
      </c>
      <c r="B288" s="12">
        <v>94640643.450000003</v>
      </c>
    </row>
    <row r="289" spans="1:2" x14ac:dyDescent="0.25">
      <c r="A289" s="15">
        <v>4606</v>
      </c>
      <c r="B289" s="12">
        <v>483132454.13</v>
      </c>
    </row>
    <row r="290" spans="1:2" x14ac:dyDescent="0.25">
      <c r="A290" s="15">
        <v>1730242</v>
      </c>
      <c r="B290" s="12">
        <v>71647856.370000005</v>
      </c>
    </row>
    <row r="291" spans="1:2" x14ac:dyDescent="0.25">
      <c r="A291" s="15">
        <v>1867111</v>
      </c>
      <c r="B291" s="12">
        <v>111494.44</v>
      </c>
    </row>
    <row r="292" spans="1:2" x14ac:dyDescent="0.25">
      <c r="A292" s="15">
        <v>2240151</v>
      </c>
      <c r="B292" s="12">
        <v>32418002</v>
      </c>
    </row>
    <row r="293" spans="1:2" x14ac:dyDescent="0.25">
      <c r="A293" s="15">
        <v>2870143</v>
      </c>
      <c r="B293" s="12">
        <v>4041</v>
      </c>
    </row>
    <row r="294" spans="1:2" x14ac:dyDescent="0.25">
      <c r="A294" s="15">
        <v>5461</v>
      </c>
      <c r="B294" s="12">
        <v>159352239.52000001</v>
      </c>
    </row>
    <row r="295" spans="1:2" x14ac:dyDescent="0.25">
      <c r="A295" s="15">
        <v>1264252</v>
      </c>
      <c r="B295" s="12">
        <v>4596766866.8999996</v>
      </c>
    </row>
    <row r="296" spans="1:2" x14ac:dyDescent="0.25">
      <c r="A296" s="15">
        <v>183711</v>
      </c>
      <c r="B296" s="12">
        <v>798421504.32000005</v>
      </c>
    </row>
    <row r="297" spans="1:2" x14ac:dyDescent="0.25">
      <c r="A297" s="15">
        <v>4612</v>
      </c>
      <c r="B297" s="12">
        <v>38921041.549999997</v>
      </c>
    </row>
    <row r="298" spans="1:2" x14ac:dyDescent="0.25">
      <c r="A298" s="15">
        <v>5301</v>
      </c>
      <c r="B298" s="12">
        <v>242071510</v>
      </c>
    </row>
    <row r="299" spans="1:2" x14ac:dyDescent="0.25">
      <c r="A299" s="15">
        <v>5250</v>
      </c>
      <c r="B299" s="12">
        <v>1028102956.1799999</v>
      </c>
    </row>
    <row r="300" spans="1:2" x14ac:dyDescent="0.25">
      <c r="A300" s="15">
        <v>5464</v>
      </c>
      <c r="B300" s="12">
        <v>3451.8</v>
      </c>
    </row>
    <row r="301" spans="1:2" x14ac:dyDescent="0.25">
      <c r="A301" s="15">
        <v>5570</v>
      </c>
      <c r="B301" s="12">
        <v>11569874.859999999</v>
      </c>
    </row>
    <row r="302" spans="1:2" x14ac:dyDescent="0.25">
      <c r="A302" s="15">
        <v>5764</v>
      </c>
      <c r="B302" s="12">
        <v>566052</v>
      </c>
    </row>
    <row r="303" spans="1:2" x14ac:dyDescent="0.25">
      <c r="A303" s="15">
        <v>6126</v>
      </c>
      <c r="B303" s="12">
        <v>20858053386.790001</v>
      </c>
    </row>
    <row r="304" spans="1:2" x14ac:dyDescent="0.25">
      <c r="A304" s="15">
        <v>7342</v>
      </c>
      <c r="B304" s="12">
        <v>403795</v>
      </c>
    </row>
    <row r="305" spans="1:2" x14ac:dyDescent="0.25">
      <c r="A305" s="15">
        <v>7339</v>
      </c>
      <c r="B305" s="12">
        <v>16793055691</v>
      </c>
    </row>
    <row r="306" spans="1:2" x14ac:dyDescent="0.25">
      <c r="A306" s="15">
        <v>1793291</v>
      </c>
      <c r="B306" s="12">
        <v>15392.56</v>
      </c>
    </row>
    <row r="307" spans="1:2" x14ac:dyDescent="0.25">
      <c r="A307" s="15">
        <v>181621</v>
      </c>
      <c r="B307" s="12">
        <v>121333.33</v>
      </c>
    </row>
    <row r="308" spans="1:2" x14ac:dyDescent="0.25">
      <c r="A308" s="15">
        <v>2203212</v>
      </c>
      <c r="B308" s="12">
        <v>25790974.109999999</v>
      </c>
    </row>
    <row r="309" spans="1:2" x14ac:dyDescent="0.25">
      <c r="A309" s="15">
        <v>2770161</v>
      </c>
      <c r="B309" s="12">
        <v>17067343</v>
      </c>
    </row>
    <row r="310" spans="1:2" x14ac:dyDescent="0.25">
      <c r="A310" s="15">
        <v>4440</v>
      </c>
      <c r="B310" s="12">
        <v>109745270.05</v>
      </c>
    </row>
    <row r="311" spans="1:2" x14ac:dyDescent="0.25">
      <c r="A311" s="15">
        <v>5743</v>
      </c>
      <c r="B311" s="12">
        <v>94351534.879999995</v>
      </c>
    </row>
    <row r="312" spans="1:2" x14ac:dyDescent="0.25">
      <c r="A312" s="15">
        <v>1051131</v>
      </c>
      <c r="B312" s="12">
        <v>17215774782.279999</v>
      </c>
    </row>
    <row r="313" spans="1:2" x14ac:dyDescent="0.25">
      <c r="A313" s="15">
        <v>2203172</v>
      </c>
      <c r="B313" s="12">
        <v>3714007071.25</v>
      </c>
    </row>
    <row r="314" spans="1:2" x14ac:dyDescent="0.25">
      <c r="A314" s="15">
        <v>2770151</v>
      </c>
      <c r="B314" s="12">
        <v>103828571</v>
      </c>
    </row>
    <row r="315" spans="1:2" x14ac:dyDescent="0.25">
      <c r="A315" s="15">
        <v>3580</v>
      </c>
      <c r="B315" s="12">
        <v>68019776588.559998</v>
      </c>
    </row>
    <row r="316" spans="1:2" x14ac:dyDescent="0.25">
      <c r="A316" s="15">
        <v>1302243</v>
      </c>
      <c r="B316" s="12">
        <v>62539593.600000001</v>
      </c>
    </row>
    <row r="317" spans="1:2" x14ac:dyDescent="0.25">
      <c r="A317" s="15">
        <v>1878271</v>
      </c>
      <c r="B317" s="12">
        <v>-56490116.289999999</v>
      </c>
    </row>
    <row r="318" spans="1:2" x14ac:dyDescent="0.25">
      <c r="A318" s="15">
        <v>2240181</v>
      </c>
      <c r="B318" s="12">
        <v>5876451.46</v>
      </c>
    </row>
    <row r="319" spans="1:2" x14ac:dyDescent="0.25">
      <c r="A319" s="15">
        <v>2869191</v>
      </c>
      <c r="B319" s="12">
        <v>272883.32</v>
      </c>
    </row>
    <row r="320" spans="1:2" x14ac:dyDescent="0.25">
      <c r="A320" s="15">
        <v>5459</v>
      </c>
      <c r="B320" s="12">
        <v>140680539.11000001</v>
      </c>
    </row>
    <row r="321" spans="1:2" x14ac:dyDescent="0.25">
      <c r="A321" s="15">
        <v>1793151</v>
      </c>
      <c r="B321" s="12">
        <v>19217941.890000001</v>
      </c>
    </row>
    <row r="322" spans="1:2" x14ac:dyDescent="0.25">
      <c r="A322" s="15">
        <v>1401171</v>
      </c>
      <c r="B322" s="12">
        <v>7272140.6399999997</v>
      </c>
    </row>
    <row r="323" spans="1:2" x14ac:dyDescent="0.25">
      <c r="A323" s="15">
        <v>183811</v>
      </c>
      <c r="B323" s="12">
        <v>8975286.2400000002</v>
      </c>
    </row>
    <row r="324" spans="1:2" x14ac:dyDescent="0.25">
      <c r="A324" s="15">
        <v>1860242</v>
      </c>
      <c r="B324" s="12">
        <v>329608098.85000002</v>
      </c>
    </row>
    <row r="325" spans="1:2" x14ac:dyDescent="0.25">
      <c r="A325" s="15">
        <v>1860292</v>
      </c>
      <c r="B325" s="12">
        <v>27764.85</v>
      </c>
    </row>
    <row r="326" spans="1:2" x14ac:dyDescent="0.25">
      <c r="A326" s="15">
        <v>2203162</v>
      </c>
      <c r="B326" s="12">
        <v>2408.13</v>
      </c>
    </row>
    <row r="327" spans="1:2" x14ac:dyDescent="0.25">
      <c r="A327" s="15">
        <v>2229191</v>
      </c>
      <c r="B327" s="12">
        <v>370094558.24000001</v>
      </c>
    </row>
    <row r="328" spans="1:2" x14ac:dyDescent="0.25">
      <c r="A328" s="15">
        <v>2237192</v>
      </c>
      <c r="B328" s="12">
        <v>2857262.76</v>
      </c>
    </row>
    <row r="329" spans="1:2" x14ac:dyDescent="0.25">
      <c r="A329" s="15">
        <v>2301141</v>
      </c>
      <c r="B329" s="12">
        <v>15000000000</v>
      </c>
    </row>
    <row r="330" spans="1:2" x14ac:dyDescent="0.25">
      <c r="A330" s="15">
        <v>2869171</v>
      </c>
      <c r="B330" s="12">
        <v>19808172.66</v>
      </c>
    </row>
    <row r="331" spans="1:2" x14ac:dyDescent="0.25">
      <c r="A331" s="15">
        <v>2870272</v>
      </c>
      <c r="B331" s="12">
        <v>17198219.609999999</v>
      </c>
    </row>
    <row r="332" spans="1:2" x14ac:dyDescent="0.25">
      <c r="A332" s="15">
        <v>4302</v>
      </c>
      <c r="B332" s="12">
        <v>109309441.29000001</v>
      </c>
    </row>
    <row r="333" spans="1:2" x14ac:dyDescent="0.25">
      <c r="A333" s="15">
        <v>5453</v>
      </c>
      <c r="B333" s="12">
        <v>940990276.82000005</v>
      </c>
    </row>
    <row r="334" spans="1:2" x14ac:dyDescent="0.25">
      <c r="A334" s="15">
        <v>5733</v>
      </c>
      <c r="B334" s="12">
        <v>316606298.89999998</v>
      </c>
    </row>
    <row r="335" spans="1:2" x14ac:dyDescent="0.25">
      <c r="A335" s="15">
        <v>1002131</v>
      </c>
      <c r="B335" s="12">
        <v>708766337</v>
      </c>
    </row>
    <row r="336" spans="1:2" x14ac:dyDescent="0.25">
      <c r="A336" s="15">
        <v>2219171</v>
      </c>
      <c r="B336" s="12">
        <v>806248562.15999997</v>
      </c>
    </row>
    <row r="337" spans="1:2" x14ac:dyDescent="0.25">
      <c r="A337" s="15">
        <v>4963</v>
      </c>
      <c r="B337" s="12">
        <v>149398676.12</v>
      </c>
    </row>
    <row r="338" spans="1:2" x14ac:dyDescent="0.25">
      <c r="A338" s="15">
        <v>7250</v>
      </c>
      <c r="B338" s="12">
        <v>20656580933.599998</v>
      </c>
    </row>
    <row r="339" spans="1:2" x14ac:dyDescent="0.25">
      <c r="A339" s="15">
        <v>1428291</v>
      </c>
      <c r="B339" s="12">
        <v>-455855.46</v>
      </c>
    </row>
    <row r="340" spans="1:2" x14ac:dyDescent="0.25">
      <c r="A340" s="15">
        <v>1877181</v>
      </c>
      <c r="B340" s="12">
        <v>-318</v>
      </c>
    </row>
    <row r="341" spans="1:2" x14ac:dyDescent="0.25">
      <c r="A341" s="15">
        <v>2237191</v>
      </c>
      <c r="B341" s="12">
        <v>3963024.69</v>
      </c>
    </row>
    <row r="342" spans="1:2" x14ac:dyDescent="0.25">
      <c r="A342" s="15">
        <v>4609</v>
      </c>
      <c r="B342" s="12">
        <v>2834.73</v>
      </c>
    </row>
    <row r="343" spans="1:2" x14ac:dyDescent="0.25">
      <c r="A343" s="15">
        <v>5788</v>
      </c>
      <c r="B343" s="12">
        <v>1055688364.61</v>
      </c>
    </row>
    <row r="344" spans="1:2" x14ac:dyDescent="0.25">
      <c r="A344" s="15">
        <v>184113</v>
      </c>
      <c r="B344" s="12">
        <v>2021.22</v>
      </c>
    </row>
    <row r="345" spans="1:2" x14ac:dyDescent="0.25">
      <c r="A345" s="15">
        <v>2203181</v>
      </c>
      <c r="B345" s="12">
        <v>54499747.710000001</v>
      </c>
    </row>
    <row r="346" spans="1:2" x14ac:dyDescent="0.25">
      <c r="A346" s="15">
        <v>2853141</v>
      </c>
      <c r="B346" s="12">
        <v>50000000000</v>
      </c>
    </row>
    <row r="347" spans="1:2" x14ac:dyDescent="0.25">
      <c r="A347" s="15">
        <v>4958</v>
      </c>
      <c r="B347" s="12">
        <v>620462930.26999998</v>
      </c>
    </row>
    <row r="348" spans="1:2" x14ac:dyDescent="0.25">
      <c r="A348" s="15">
        <v>6575</v>
      </c>
      <c r="B348" s="12">
        <v>353031074114.81</v>
      </c>
    </row>
    <row r="349" spans="1:2" x14ac:dyDescent="0.25">
      <c r="A349" s="15">
        <v>183821</v>
      </c>
      <c r="B349" s="12">
        <v>18900</v>
      </c>
    </row>
    <row r="350" spans="1:2" x14ac:dyDescent="0.25">
      <c r="A350" s="15">
        <v>2203211</v>
      </c>
      <c r="B350" s="12">
        <v>50643005.979999997</v>
      </c>
    </row>
    <row r="351" spans="1:2" x14ac:dyDescent="0.25">
      <c r="A351" s="15">
        <v>2240292</v>
      </c>
      <c r="B351" s="12">
        <v>5554626.04</v>
      </c>
    </row>
    <row r="352" spans="1:2" x14ac:dyDescent="0.25">
      <c r="A352" s="15">
        <v>4951</v>
      </c>
      <c r="B352" s="12">
        <v>82737893.049999997</v>
      </c>
    </row>
    <row r="353" spans="1:2" x14ac:dyDescent="0.25">
      <c r="A353" s="15">
        <v>5895</v>
      </c>
      <c r="B353" s="12">
        <v>9259832421.5</v>
      </c>
    </row>
    <row r="354" spans="1:2" x14ac:dyDescent="0.25">
      <c r="A354" s="15">
        <v>184511</v>
      </c>
      <c r="B354" s="12">
        <v>-758180377.97000003</v>
      </c>
    </row>
    <row r="355" spans="1:2" x14ac:dyDescent="0.25">
      <c r="A355" s="15">
        <v>2207193</v>
      </c>
      <c r="B355" s="12">
        <v>241360811.11000001</v>
      </c>
    </row>
    <row r="356" spans="1:2" x14ac:dyDescent="0.25">
      <c r="A356" s="15">
        <v>2869241</v>
      </c>
      <c r="B356" s="12">
        <v>2073240</v>
      </c>
    </row>
    <row r="357" spans="1:2" x14ac:dyDescent="0.25">
      <c r="A357" s="15">
        <v>5452</v>
      </c>
      <c r="B357" s="12">
        <v>15471955.449999999</v>
      </c>
    </row>
    <row r="358" spans="1:2" x14ac:dyDescent="0.25">
      <c r="A358" s="15">
        <v>1424171</v>
      </c>
      <c r="B358" s="12">
        <v>1617565928.72</v>
      </c>
    </row>
    <row r="359" spans="1:2" x14ac:dyDescent="0.25">
      <c r="A359" s="15">
        <v>1424291</v>
      </c>
      <c r="B359" s="12">
        <v>283094.34999999998</v>
      </c>
    </row>
    <row r="360" spans="1:2" x14ac:dyDescent="0.25">
      <c r="A360" s="15">
        <v>1002233</v>
      </c>
      <c r="B360" s="12">
        <v>232248842</v>
      </c>
    </row>
    <row r="361" spans="1:2" x14ac:dyDescent="0.25">
      <c r="A361" s="15">
        <v>1860141</v>
      </c>
      <c r="B361" s="12">
        <v>2416206676.3699999</v>
      </c>
    </row>
    <row r="362" spans="1:2" x14ac:dyDescent="0.25">
      <c r="A362" s="15">
        <v>1860181</v>
      </c>
      <c r="B362" s="12">
        <v>318</v>
      </c>
    </row>
    <row r="363" spans="1:2" x14ac:dyDescent="0.25">
      <c r="A363" s="15">
        <v>1877291</v>
      </c>
      <c r="B363" s="12">
        <v>-46207153.189999998</v>
      </c>
    </row>
    <row r="364" spans="1:2" x14ac:dyDescent="0.25">
      <c r="A364" s="15">
        <v>2203252</v>
      </c>
      <c r="B364" s="12">
        <v>80407.66</v>
      </c>
    </row>
    <row r="365" spans="1:2" x14ac:dyDescent="0.25">
      <c r="A365" s="15">
        <v>2237292</v>
      </c>
      <c r="B365" s="12">
        <v>761080.67</v>
      </c>
    </row>
    <row r="366" spans="1:2" x14ac:dyDescent="0.25">
      <c r="A366" s="15">
        <v>2237291</v>
      </c>
      <c r="B366" s="12">
        <v>140000</v>
      </c>
    </row>
    <row r="367" spans="1:2" x14ac:dyDescent="0.25">
      <c r="A367" s="15">
        <v>2860143</v>
      </c>
      <c r="B367" s="12">
        <v>3367500</v>
      </c>
    </row>
    <row r="368" spans="1:2" x14ac:dyDescent="0.25">
      <c r="A368" s="15">
        <v>4251</v>
      </c>
      <c r="B368" s="12">
        <v>58595105.939999998</v>
      </c>
    </row>
    <row r="369" spans="1:2" x14ac:dyDescent="0.25">
      <c r="A369" s="15">
        <v>4052</v>
      </c>
      <c r="B369" s="12">
        <v>59038867.859999999</v>
      </c>
    </row>
    <row r="370" spans="1:2" x14ac:dyDescent="0.25">
      <c r="A370" s="15">
        <v>4617</v>
      </c>
      <c r="B370" s="12">
        <v>15177058.98</v>
      </c>
    </row>
    <row r="371" spans="1:2" x14ac:dyDescent="0.25">
      <c r="A371" s="15">
        <v>5218</v>
      </c>
      <c r="B371" s="12">
        <v>275618554.92000002</v>
      </c>
    </row>
    <row r="372" spans="1:2" x14ac:dyDescent="0.25">
      <c r="A372" s="15">
        <v>5703</v>
      </c>
      <c r="B372" s="12">
        <v>26135448726.630001</v>
      </c>
    </row>
    <row r="373" spans="1:2" x14ac:dyDescent="0.25">
      <c r="A373" s="15">
        <v>5922</v>
      </c>
      <c r="B373" s="12">
        <v>266788226.02000001</v>
      </c>
    </row>
    <row r="374" spans="1:2" x14ac:dyDescent="0.25">
      <c r="A374" s="15">
        <v>1495171</v>
      </c>
      <c r="B374" s="12">
        <v>-12930559.060000001</v>
      </c>
    </row>
    <row r="375" spans="1:2" x14ac:dyDescent="0.25">
      <c r="A375" s="15">
        <v>1610</v>
      </c>
      <c r="B375" s="12">
        <v>1252809981.75</v>
      </c>
    </row>
    <row r="376" spans="1:2" x14ac:dyDescent="0.25">
      <c r="A376" s="15">
        <v>2214291</v>
      </c>
      <c r="B376" s="12">
        <v>134221132.58000001</v>
      </c>
    </row>
    <row r="377" spans="1:2" x14ac:dyDescent="0.25">
      <c r="A377" s="15">
        <v>4530</v>
      </c>
      <c r="B377" s="12">
        <v>23391078251.439999</v>
      </c>
    </row>
    <row r="378" spans="1:2" x14ac:dyDescent="0.25">
      <c r="A378" s="15">
        <v>1428171</v>
      </c>
      <c r="B378" s="12">
        <v>-2457632237.4099998</v>
      </c>
    </row>
    <row r="379" spans="1:2" x14ac:dyDescent="0.25">
      <c r="A379" s="15">
        <v>1319243</v>
      </c>
      <c r="B379" s="12">
        <v>-773962.94</v>
      </c>
    </row>
    <row r="380" spans="1:2" x14ac:dyDescent="0.25">
      <c r="A380" s="15">
        <v>181711</v>
      </c>
      <c r="B380" s="12">
        <v>18166966.68</v>
      </c>
    </row>
    <row r="381" spans="1:2" x14ac:dyDescent="0.25">
      <c r="A381" s="15">
        <v>183712</v>
      </c>
      <c r="B381" s="12">
        <v>17222.88</v>
      </c>
    </row>
    <row r="382" spans="1:2" x14ac:dyDescent="0.25">
      <c r="A382" s="15">
        <v>1860271</v>
      </c>
      <c r="B382" s="12">
        <v>1226937</v>
      </c>
    </row>
    <row r="383" spans="1:2" x14ac:dyDescent="0.25">
      <c r="A383" s="15">
        <v>2013143</v>
      </c>
      <c r="B383" s="12">
        <v>235497.54</v>
      </c>
    </row>
    <row r="384" spans="1:2" x14ac:dyDescent="0.25">
      <c r="A384" s="15">
        <v>2203152</v>
      </c>
      <c r="B384" s="12">
        <v>241822720.69999999</v>
      </c>
    </row>
    <row r="385" spans="1:2" x14ac:dyDescent="0.25">
      <c r="A385" s="15">
        <v>2203183</v>
      </c>
      <c r="B385" s="12">
        <v>7800.75</v>
      </c>
    </row>
    <row r="386" spans="1:2" x14ac:dyDescent="0.25">
      <c r="A386" s="15">
        <v>2204292</v>
      </c>
      <c r="B386" s="12">
        <v>2306419669.0799999</v>
      </c>
    </row>
    <row r="387" spans="1:2" x14ac:dyDescent="0.25">
      <c r="A387" s="15">
        <v>2217151</v>
      </c>
      <c r="B387" s="12">
        <v>2000000</v>
      </c>
    </row>
    <row r="388" spans="1:2" x14ac:dyDescent="0.25">
      <c r="A388" s="15">
        <v>2215151</v>
      </c>
      <c r="B388" s="12">
        <v>1001000</v>
      </c>
    </row>
    <row r="389" spans="1:2" x14ac:dyDescent="0.25">
      <c r="A389" s="15">
        <v>2237181</v>
      </c>
      <c r="B389" s="12">
        <v>150702</v>
      </c>
    </row>
    <row r="390" spans="1:2" x14ac:dyDescent="0.25">
      <c r="A390" s="15">
        <v>2731191</v>
      </c>
      <c r="B390" s="12">
        <v>26385578.239999998</v>
      </c>
    </row>
    <row r="391" spans="1:2" x14ac:dyDescent="0.25">
      <c r="A391" s="15">
        <v>2770271</v>
      </c>
      <c r="B391" s="12">
        <v>155130211.08000001</v>
      </c>
    </row>
    <row r="392" spans="1:2" x14ac:dyDescent="0.25">
      <c r="A392" s="15">
        <v>282011</v>
      </c>
      <c r="B392" s="12">
        <v>15000000</v>
      </c>
    </row>
    <row r="393" spans="1:2" x14ac:dyDescent="0.25">
      <c r="A393" s="15">
        <v>2865171</v>
      </c>
      <c r="B393" s="12">
        <v>336161328.41000003</v>
      </c>
    </row>
    <row r="394" spans="1:2" x14ac:dyDescent="0.25">
      <c r="A394" s="15">
        <v>2870161</v>
      </c>
      <c r="B394" s="12">
        <v>45210</v>
      </c>
    </row>
    <row r="395" spans="1:2" x14ac:dyDescent="0.25">
      <c r="A395" s="15">
        <v>4303</v>
      </c>
      <c r="B395" s="12">
        <v>25490288.100000001</v>
      </c>
    </row>
    <row r="396" spans="1:2" x14ac:dyDescent="0.25">
      <c r="A396" s="15">
        <v>4417</v>
      </c>
      <c r="B396" s="12">
        <v>22786367669.369999</v>
      </c>
    </row>
    <row r="397" spans="1:2" x14ac:dyDescent="0.25">
      <c r="A397" s="15">
        <v>4922</v>
      </c>
      <c r="B397" s="12">
        <v>11704224970.110001</v>
      </c>
    </row>
    <row r="398" spans="1:2" x14ac:dyDescent="0.25">
      <c r="A398" s="15">
        <v>5126</v>
      </c>
      <c r="B398" s="12">
        <v>34185806.100000001</v>
      </c>
    </row>
    <row r="399" spans="1:2" x14ac:dyDescent="0.25">
      <c r="A399" s="15">
        <v>5457</v>
      </c>
      <c r="B399" s="12">
        <v>414136639.73000002</v>
      </c>
    </row>
    <row r="400" spans="1:2" x14ac:dyDescent="0.25">
      <c r="A400" s="15">
        <v>4955</v>
      </c>
      <c r="B400" s="12">
        <v>18944170671.439999</v>
      </c>
    </row>
    <row r="401" spans="1:2" x14ac:dyDescent="0.25">
      <c r="A401" s="15">
        <v>5456</v>
      </c>
      <c r="B401" s="12">
        <v>289980773.74000001</v>
      </c>
    </row>
    <row r="402" spans="1:2" x14ac:dyDescent="0.25">
      <c r="A402" s="15">
        <v>5921</v>
      </c>
      <c r="B402" s="12">
        <v>3229863126.5900002</v>
      </c>
    </row>
    <row r="403" spans="1:2" x14ac:dyDescent="0.25">
      <c r="A403" s="15">
        <v>5852</v>
      </c>
      <c r="B403" s="12">
        <v>131133.66</v>
      </c>
    </row>
    <row r="404" spans="1:2" x14ac:dyDescent="0.25">
      <c r="A404" s="15">
        <v>6055</v>
      </c>
      <c r="B404" s="12">
        <v>5481370199.6999998</v>
      </c>
    </row>
    <row r="405" spans="1:2" x14ac:dyDescent="0.25">
      <c r="A405" s="15">
        <v>1001232</v>
      </c>
      <c r="B405" s="12">
        <v>2729229090.8800001</v>
      </c>
    </row>
    <row r="406" spans="1:2" x14ac:dyDescent="0.25">
      <c r="A406" s="15">
        <v>1052152</v>
      </c>
      <c r="B406" s="12">
        <v>451.53</v>
      </c>
    </row>
    <row r="407" spans="1:2" x14ac:dyDescent="0.25">
      <c r="A407" s="15">
        <v>1411171</v>
      </c>
      <c r="B407" s="12">
        <v>2710899917.1300001</v>
      </c>
    </row>
    <row r="408" spans="1:2" x14ac:dyDescent="0.25">
      <c r="A408" s="15">
        <v>183713</v>
      </c>
      <c r="B408" s="12">
        <v>26216.67</v>
      </c>
    </row>
    <row r="409" spans="1:2" x14ac:dyDescent="0.25">
      <c r="A409" s="15">
        <v>1740291</v>
      </c>
      <c r="B409" s="12">
        <v>10140.52</v>
      </c>
    </row>
    <row r="410" spans="1:2" x14ac:dyDescent="0.25">
      <c r="A410" s="15">
        <v>1860142</v>
      </c>
      <c r="B410" s="12">
        <v>1680318361.77</v>
      </c>
    </row>
    <row r="411" spans="1:2" x14ac:dyDescent="0.25">
      <c r="A411" s="15">
        <v>1867151</v>
      </c>
      <c r="B411" s="12">
        <v>91189</v>
      </c>
    </row>
    <row r="412" spans="1:2" x14ac:dyDescent="0.25">
      <c r="A412" s="15">
        <v>2203161</v>
      </c>
      <c r="B412" s="12">
        <v>3086598.53</v>
      </c>
    </row>
    <row r="413" spans="1:2" x14ac:dyDescent="0.25">
      <c r="A413" s="15">
        <v>2206191</v>
      </c>
      <c r="B413" s="12">
        <v>3736973126.27</v>
      </c>
    </row>
    <row r="414" spans="1:2" x14ac:dyDescent="0.25">
      <c r="A414" s="15">
        <v>2219151</v>
      </c>
      <c r="B414" s="12">
        <v>167357458.66</v>
      </c>
    </row>
    <row r="415" spans="1:2" x14ac:dyDescent="0.25">
      <c r="A415" s="15">
        <v>2229193</v>
      </c>
      <c r="B415" s="12">
        <v>10592935.960000001</v>
      </c>
    </row>
    <row r="416" spans="1:2" x14ac:dyDescent="0.25">
      <c r="A416" s="15">
        <v>2731291</v>
      </c>
      <c r="B416" s="12">
        <v>1653788.55</v>
      </c>
    </row>
    <row r="417" spans="1:2" x14ac:dyDescent="0.25">
      <c r="A417" s="15">
        <v>2770191</v>
      </c>
      <c r="B417" s="12">
        <v>56572478</v>
      </c>
    </row>
    <row r="418" spans="1:2" x14ac:dyDescent="0.25">
      <c r="A418" s="15">
        <v>2867191</v>
      </c>
      <c r="B418" s="12">
        <v>3059482.99</v>
      </c>
    </row>
    <row r="419" spans="1:2" x14ac:dyDescent="0.25">
      <c r="A419" s="15">
        <v>4407</v>
      </c>
      <c r="B419" s="12">
        <v>1769251746.1800001</v>
      </c>
    </row>
    <row r="420" spans="1:2" x14ac:dyDescent="0.25">
      <c r="A420" s="15">
        <v>4703</v>
      </c>
      <c r="B420" s="12">
        <v>25512052767.540001</v>
      </c>
    </row>
    <row r="421" spans="1:2" x14ac:dyDescent="0.25">
      <c r="A421" s="15">
        <v>4852</v>
      </c>
      <c r="B421" s="12">
        <v>2447049.0099999998</v>
      </c>
    </row>
    <row r="422" spans="1:2" x14ac:dyDescent="0.25">
      <c r="A422" s="15">
        <v>5455</v>
      </c>
      <c r="B422" s="12">
        <v>21230286297.169998</v>
      </c>
    </row>
    <row r="423" spans="1:2" x14ac:dyDescent="0.25">
      <c r="A423" s="15">
        <v>5754</v>
      </c>
      <c r="B423" s="12">
        <v>631998872</v>
      </c>
    </row>
    <row r="424" spans="1:2" x14ac:dyDescent="0.25">
      <c r="A424" s="15">
        <v>5746</v>
      </c>
      <c r="B424" s="12">
        <v>195933754.69999999</v>
      </c>
    </row>
    <row r="425" spans="1:2" x14ac:dyDescent="0.25">
      <c r="A425" s="15">
        <v>5782</v>
      </c>
      <c r="B425" s="12">
        <v>1026165626.0700001</v>
      </c>
    </row>
    <row r="426" spans="1:2" x14ac:dyDescent="0.25">
      <c r="A426" s="15">
        <v>6555</v>
      </c>
      <c r="B426" s="12">
        <v>5481370199.6999998</v>
      </c>
    </row>
    <row r="427" spans="1:2" x14ac:dyDescent="0.25">
      <c r="A427" s="15">
        <v>1428191</v>
      </c>
      <c r="B427" s="12">
        <v>-20227541389.279999</v>
      </c>
    </row>
    <row r="428" spans="1:2" x14ac:dyDescent="0.25">
      <c r="A428" s="15">
        <v>1867271</v>
      </c>
      <c r="B428" s="12">
        <v>208807172.74000001</v>
      </c>
    </row>
    <row r="429" spans="1:2" x14ac:dyDescent="0.25">
      <c r="A429" s="15">
        <v>2867171</v>
      </c>
      <c r="B429" s="12">
        <v>431868.52</v>
      </c>
    </row>
    <row r="430" spans="1:2" x14ac:dyDescent="0.25">
      <c r="A430" s="15">
        <v>1799171</v>
      </c>
      <c r="B430" s="12">
        <v>199843454.08000001</v>
      </c>
    </row>
    <row r="431" spans="1:2" x14ac:dyDescent="0.25">
      <c r="A431" s="15">
        <v>1052242</v>
      </c>
      <c r="B431" s="12">
        <v>7662014097.8999996</v>
      </c>
    </row>
    <row r="432" spans="1:2" x14ac:dyDescent="0.25">
      <c r="A432" s="15">
        <v>1411291</v>
      </c>
      <c r="B432" s="12">
        <v>1076957.25</v>
      </c>
    </row>
    <row r="433" spans="1:2" x14ac:dyDescent="0.25">
      <c r="A433" s="15">
        <v>1434291</v>
      </c>
      <c r="B433" s="12">
        <v>-24.3</v>
      </c>
    </row>
    <row r="434" spans="1:2" x14ac:dyDescent="0.25">
      <c r="A434" s="15">
        <v>1854</v>
      </c>
      <c r="B434" s="12">
        <v>10617937.199999999</v>
      </c>
    </row>
    <row r="435" spans="1:2" x14ac:dyDescent="0.25">
      <c r="A435" s="15">
        <v>2203173</v>
      </c>
      <c r="B435" s="12">
        <v>209129595.34999999</v>
      </c>
    </row>
    <row r="436" spans="1:2" x14ac:dyDescent="0.25">
      <c r="A436" s="15">
        <v>2207293</v>
      </c>
      <c r="B436" s="12">
        <v>136354.57</v>
      </c>
    </row>
    <row r="437" spans="1:2" x14ac:dyDescent="0.25">
      <c r="A437" s="15">
        <v>2206291</v>
      </c>
      <c r="B437" s="12">
        <v>181548847.93000001</v>
      </c>
    </row>
    <row r="438" spans="1:2" x14ac:dyDescent="0.25">
      <c r="A438" s="15">
        <v>2220181</v>
      </c>
      <c r="B438" s="12">
        <v>4304902.57</v>
      </c>
    </row>
    <row r="439" spans="1:2" x14ac:dyDescent="0.25">
      <c r="A439" s="15">
        <v>281111</v>
      </c>
      <c r="B439" s="12">
        <v>21729000</v>
      </c>
    </row>
    <row r="440" spans="1:2" x14ac:dyDescent="0.25">
      <c r="A440" s="15">
        <v>2851111</v>
      </c>
      <c r="B440" s="12">
        <v>1322013527.0899999</v>
      </c>
    </row>
    <row r="441" spans="1:2" x14ac:dyDescent="0.25">
      <c r="A441" s="15">
        <v>2861</v>
      </c>
      <c r="B441" s="12">
        <v>1379066985.3</v>
      </c>
    </row>
    <row r="442" spans="1:2" x14ac:dyDescent="0.25">
      <c r="A442" s="15">
        <v>4510</v>
      </c>
      <c r="B442" s="12">
        <v>78322421.569999993</v>
      </c>
    </row>
    <row r="443" spans="1:2" x14ac:dyDescent="0.25">
      <c r="A443" s="15">
        <v>5128</v>
      </c>
      <c r="B443" s="12">
        <v>140942806.13999999</v>
      </c>
    </row>
    <row r="444" spans="1:2" x14ac:dyDescent="0.25">
      <c r="A444" s="15">
        <v>4615</v>
      </c>
      <c r="B444" s="12">
        <v>29171682.420000002</v>
      </c>
    </row>
    <row r="445" spans="1:2" x14ac:dyDescent="0.25">
      <c r="A445" s="15">
        <v>5233</v>
      </c>
      <c r="B445" s="12">
        <v>627920</v>
      </c>
    </row>
    <row r="446" spans="1:2" x14ac:dyDescent="0.25">
      <c r="A446" s="15">
        <v>5787</v>
      </c>
      <c r="B446" s="12">
        <v>1318221.06</v>
      </c>
    </row>
    <row r="447" spans="1:2" x14ac:dyDescent="0.25">
      <c r="A447" s="15">
        <v>5783</v>
      </c>
      <c r="B447" s="12">
        <v>278005831.47000003</v>
      </c>
    </row>
    <row r="448" spans="1:2" x14ac:dyDescent="0.25">
      <c r="A448" s="15">
        <v>6075</v>
      </c>
      <c r="B448" s="12">
        <v>353031074114.81</v>
      </c>
    </row>
    <row r="449" spans="1:2" x14ac:dyDescent="0.25">
      <c r="A449" s="15">
        <v>1434191</v>
      </c>
      <c r="B449" s="12">
        <v>-5375835287.3000002</v>
      </c>
    </row>
    <row r="450" spans="1:2" x14ac:dyDescent="0.25">
      <c r="A450" s="15">
        <v>2013241</v>
      </c>
      <c r="B450" s="12">
        <v>65599325.560000002</v>
      </c>
    </row>
    <row r="451" spans="1:2" x14ac:dyDescent="0.25">
      <c r="A451" s="15">
        <v>2799171</v>
      </c>
      <c r="B451" s="12">
        <v>22300</v>
      </c>
    </row>
    <row r="452" spans="1:2" x14ac:dyDescent="0.25">
      <c r="A452" s="15">
        <v>4482</v>
      </c>
      <c r="B452" s="12">
        <v>487845892.11000001</v>
      </c>
    </row>
    <row r="453" spans="1:2" x14ac:dyDescent="0.25">
      <c r="A453" s="15">
        <v>5999</v>
      </c>
      <c r="B453" s="12">
        <v>3404026353.2399998</v>
      </c>
    </row>
    <row r="454" spans="1:2" x14ac:dyDescent="0.25">
      <c r="A454" s="15">
        <v>1799272</v>
      </c>
      <c r="B454" s="12">
        <v>4704495.8899999997</v>
      </c>
    </row>
    <row r="455" spans="1:2" x14ac:dyDescent="0.25">
      <c r="A455" s="15">
        <v>1659</v>
      </c>
      <c r="B455" s="12">
        <v>12342780702.52</v>
      </c>
    </row>
    <row r="456" spans="1:2" x14ac:dyDescent="0.25">
      <c r="A456" s="15">
        <v>4434</v>
      </c>
      <c r="B456" s="12">
        <v>4483172961.1199999</v>
      </c>
    </row>
    <row r="457" spans="1:2" x14ac:dyDescent="0.25">
      <c r="A457" s="15">
        <v>1495242</v>
      </c>
      <c r="B457" s="12">
        <v>-61373.120000000003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Бейсебаева (Anara Beisebayeva)</dc:creator>
  <cp:lastModifiedBy>Анара Бейсебаева (Anara Beisebayeva)</cp:lastModifiedBy>
  <dcterms:created xsi:type="dcterms:W3CDTF">2022-07-05T10:52:43Z</dcterms:created>
  <dcterms:modified xsi:type="dcterms:W3CDTF">2022-07-12T09:28:49Z</dcterms:modified>
</cp:coreProperties>
</file>