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8635" windowHeight="1143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2" hidden="1">'ф.3'!$E:$F</definedName>
    <definedName name="Z_650DB8ED_FD03_48A1_AF5F_C6A17B786369_.wvu.Cols" localSheetId="3" hidden="1">'ф.4'!$D:$D,'ф.4'!$G:$H,'ф.4'!$M:$N</definedName>
    <definedName name="Z_650DB8ED_FD03_48A1_AF5F_C6A17B786369_.wvu.PrintArea" localSheetId="1" hidden="1">'ф.2'!$A$1:$C$91</definedName>
    <definedName name="Z_650DB8ED_FD03_48A1_AF5F_C6A17B786369_.wvu.Rows" localSheetId="0" hidden="1">'ф.1'!$19:$19,'ф.1'!$48:$48,'ф.1'!$56:$57,'ф.1'!$62:$63</definedName>
    <definedName name="Z_650DB8ED_FD03_48A1_AF5F_C6A17B786369_.wvu.Rows" localSheetId="1" hidden="1">'ф.2'!$14:$14,'ф.2'!$19:$19,'ф.2'!$54:$56,'ф.2'!$63:$65,'ф.2'!$67:$67,'ф.2'!$72:$78</definedName>
    <definedName name="Z_650DB8ED_FD03_48A1_AF5F_C6A17B786369_.wvu.Rows" localSheetId="2" hidden="1">'ф.3'!$51:$51,'ф.3'!$57:$57,'ф.3'!$61:$61,'ф.3'!$69:$71</definedName>
    <definedName name="Z_650DB8ED_FD03_48A1_AF5F_C6A17B786369_.wvu.Rows" localSheetId="3" hidden="1">'ф.4'!$32:$32,'ф.4'!$35:$35,'ф.4'!$48:$49,'ф.4'!$56:$56,'ф.4'!$59:$59</definedName>
    <definedName name="Z_6F1EF12F_9811_40B2_B251_CE607831BA04_.wvu.Rows" localSheetId="1" hidden="1">'ф.2'!$77:$77</definedName>
    <definedName name="Z_E062E976_5C69_4170_B000_953CF0486F6B_.wvu.Cols" localSheetId="2" hidden="1">'ф.3'!$E:$F</definedName>
    <definedName name="Z_E062E976_5C69_4170_B000_953CF0486F6B_.wvu.Cols" localSheetId="3" hidden="1">'ф.4'!$D:$D</definedName>
    <definedName name="Z_E062E976_5C69_4170_B000_953CF0486F6B_.wvu.PrintArea" localSheetId="1" hidden="1">'ф.2'!$A$1:$C$91</definedName>
    <definedName name="Z_E062E976_5C69_4170_B000_953CF0486F6B_.wvu.Rows" localSheetId="0" hidden="1">'ф.1'!$62:$63</definedName>
    <definedName name="Z_E062E976_5C69_4170_B000_953CF0486F6B_.wvu.Rows" localSheetId="1" hidden="1">'ф.2'!$19:$19,'ф.2'!$54:$56,'ф.2'!$72:$78</definedName>
    <definedName name="Z_E062E976_5C69_4170_B000_953CF0486F6B_.wvu.Rows" localSheetId="2" hidden="1">'ф.3'!$51:$51,'ф.3'!$57:$57,'ф.3'!$61:$61,'ф.3'!$70:$70,'ф.3'!$71:$71</definedName>
    <definedName name="Z_E062E976_5C69_4170_B000_953CF0486F6B_.wvu.Rows" localSheetId="3" hidden="1">'ф.4'!$35:$35,'ф.4'!$59:$59,'ф.4'!$61:$61</definedName>
    <definedName name="_xlnm.Print_Area" localSheetId="0">'ф.1'!$A$1:$C$80</definedName>
    <definedName name="_xlnm.Print_Area" localSheetId="1">'ф.2'!$A$1:$C$91</definedName>
  </definedNames>
  <calcPr fullCalcOnLoad="1"/>
</workbook>
</file>

<file path=xl/sharedStrings.xml><?xml version="1.0" encoding="utf-8"?>
<sst xmlns="http://schemas.openxmlformats.org/spreadsheetml/2006/main" count="295" uniqueCount="226">
  <si>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</si>
  <si>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</si>
  <si>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</si>
  <si>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</si>
  <si>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</si>
  <si>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</si>
  <si>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</si>
  <si>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</si>
  <si>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</si>
  <si>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</si>
  <si>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</si>
  <si>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</si>
  <si>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</si>
  <si>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</si>
  <si>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</si>
  <si>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</si>
  <si>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</si>
  <si>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</si>
  <si>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</si>
  <si>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</si>
  <si>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</si>
  <si>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</si>
  <si>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</si>
  <si>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</si>
  <si>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</si>
  <si>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</si>
  <si>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</si>
  <si>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</si>
  <si>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</si>
  <si>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</si>
  <si>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</si>
  <si>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</si>
  <si>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</si>
  <si>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</si>
  <si>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</si>
  <si>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</si>
  <si>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Расход по подоходному налогу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</si>
  <si>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</si>
  <si>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</si>
  <si>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</si>
  <si>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</si>
  <si>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</si>
  <si>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</si>
  <si>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</si>
  <si>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</si>
  <si>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</si>
  <si>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</si>
  <si>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</si>
  <si>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</si>
  <si>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</si>
  <si>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</si>
  <si>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</si>
  <si>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</si>
  <si>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</si>
  <si>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</si>
  <si>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</si>
  <si>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</si>
  <si>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</si>
  <si>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</si>
  <si>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Акционерный  капитал</t>
  </si>
  <si>
    <t xml:space="preserve">Резерв по переоценке земельных участков и зданий
 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</si>
  <si>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</si>
  <si>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</si>
  <si>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</si>
  <si>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 xml:space="preserve">Операции с собственниками, отраженные непосредственно в составе капитала 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</si>
  <si>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</si>
  <si>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</si>
  <si>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</si>
  <si>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</si>
  <si>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</si>
  <si>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</si>
  <si>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</si>
  <si>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</si>
  <si>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</si>
  <si>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</si>
  <si>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</si>
  <si>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</si>
  <si>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</si>
  <si>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</si>
  <si>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</si>
  <si>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</si>
  <si>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</si>
  <si>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</si>
  <si>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</si>
  <si>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</si>
  <si>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</si>
  <si>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</si>
  <si>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</si>
  <si>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</si>
  <si>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</si>
  <si>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</si>
  <si>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</si>
  <si>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</si>
  <si>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</si>
  <si>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</si>
  <si>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</si>
  <si>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</si>
  <si>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</si>
  <si>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</si>
  <si>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</si>
  <si>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</si>
  <si>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</si>
  <si>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</si>
  <si>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</si>
  <si>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</si>
  <si>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</si>
  <si>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</si>
  <si>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</si>
  <si>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</si>
  <si>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</si>
  <si>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</si>
  <si>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</si>
  <si>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</si>
  <si>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</si>
  <si>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4</t>
  </si>
  <si>
    <t>5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</si>
  <si>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</si>
  <si>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</si>
  <si>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</si>
  <si>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</si>
  <si>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>Изменения доли перестраховщиков в резервах по договорам страхования</t>
  </si>
  <si>
    <t>Кредиторская задолженность по сделкам "репо"</t>
  </si>
  <si>
    <t>в т.ч. дивиденды по привилегированным акциям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</si>
  <si>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</si>
  <si>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</si>
  <si>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</si>
  <si>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>Всего совокупного дохода, причитающегося:</t>
  </si>
  <si>
    <t xml:space="preserve"> - акционерам Банка</t>
  </si>
  <si>
    <t>Общий совокупный доход за период</t>
  </si>
  <si>
    <t>Поступления от продажи долгосрочных активов, предназначенных для продажи</t>
  </si>
  <si>
    <t>СД, Правление</t>
  </si>
  <si>
    <t>Поступления от приобретения дочерней компании, за вычетом полученных денежных средств</t>
  </si>
  <si>
    <t>тыс.тенге</t>
  </si>
  <si>
    <t>Базовая и разводненная прибыль на обыкновенную акцию (в тенге)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</si>
  <si>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</si>
  <si>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</si>
  <si>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</si>
  <si>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</si>
  <si>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</si>
  <si>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</si>
  <si>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</si>
  <si>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Выкуп привилегированных акций</t>
  </si>
  <si>
    <t xml:space="preserve">Приобретение доли неконтролирующих акционеров 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</si>
  <si>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</si>
  <si>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Приобретение инвестиций в ассоциированные компании</t>
  </si>
  <si>
    <t>Всего совокупного дохода за период</t>
  </si>
  <si>
    <t xml:space="preserve"> - неконтролирующим акционерам</t>
  </si>
  <si>
    <t>- неконтролирующим акционерам</t>
  </si>
  <si>
    <t>Денежные средства и их эквиваленты на конец периода</t>
  </si>
  <si>
    <t>Инвестиции в ассоциированные компании</t>
  </si>
  <si>
    <t>Доход от инвестиции в ассоциированное предприятие</t>
  </si>
  <si>
    <t>(Выкуп)/продажа привилегированных акций</t>
  </si>
  <si>
    <t>Чистая прибыль (убыток) от операций с иностранной валютой и драгоценными металлами</t>
  </si>
  <si>
    <t>Доход от выбытия инвестиций в дочерние и ассоциированные компании</t>
  </si>
  <si>
    <t>Эффект от перехода на МСФО 9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</si>
  <si>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</si>
  <si>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</si>
  <si>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Резерв (провизии) на покрытие ожидаемых кредитных убытков по финансовым активам, имеющимся в наличии для продажи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</si>
  <si>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</si>
  <si>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</si>
  <si>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Перевод из обязательного резерва</t>
  </si>
  <si>
    <t>Расформирование динамического резерва</t>
  </si>
  <si>
    <t>Поступления от выбытия инвестиций ассоциированных компаний</t>
  </si>
  <si>
    <t>**- включает эффекты от пересчета курсовых разниц в отчете о прибыли или убытке  на сумму 510 млн.тг. и пересчета курсовых разниц в прочем совокупном доходе на сумму 120 млн.тг.</t>
  </si>
  <si>
    <t>Чистое изменение резерва по переоценке финансовых активов, имеющихся в наличии для продажи</t>
  </si>
  <si>
    <t>Чистое изменение резерва на покрытие убытков по финансовым активам, имеющимся в наличии для продажи</t>
  </si>
  <si>
    <t>Остаток по состоянию на 1 января 2018 года с учетом МСФО 9*</t>
  </si>
  <si>
    <t>Чистое изменение резерва по переоценке финансовых активов, имеющихся в наличии для продажи (под ожидаемые кре.убытки)</t>
  </si>
  <si>
    <t>Продажа собственных привилегированных акций</t>
  </si>
  <si>
    <t>Продажа (выкуп) собственных акций</t>
  </si>
  <si>
    <t>31.12.2018г.*</t>
  </si>
  <si>
    <t>Доход от признания дисконта по выпущенным облигациям</t>
  </si>
  <si>
    <t>Резерв (провизии) на покрытие ожидаемых кредитных убытков по ценным бумагам, оцениваемым по справедливой стоимости через прочий совокупный доход</t>
  </si>
  <si>
    <t xml:space="preserve">Накопленный резерв по переводу в валюту представления данных 
</t>
  </si>
  <si>
    <t>Чистое изменение резерва на покрытие ожидаемых кредитных убытков по ценным бумагам</t>
  </si>
  <si>
    <t>(с учетом заключительных оборотов)</t>
  </si>
  <si>
    <t>Денежные средства и их эквиваленты на начало периода</t>
  </si>
  <si>
    <t xml:space="preserve">Выкуп выпущенных долговых ценных бумаг </t>
  </si>
  <si>
    <t>Пирматов Б.О.</t>
  </si>
  <si>
    <t xml:space="preserve">Председатель Правления                                              </t>
  </si>
  <si>
    <t xml:space="preserve">Главный бухгалтер                                                        </t>
  </si>
  <si>
    <t>Остаток по состоянию на 1 января 2019 года*</t>
  </si>
  <si>
    <t>Ценные бумаги, оцениваемые по справедливой стоимости через прочий совокупный доход</t>
  </si>
  <si>
    <t xml:space="preserve">Ценные бумаги, оцениваемые  по амортизированной стоимости </t>
  </si>
  <si>
    <t>Доход от признания дисконта по выпущенным облигациям и привлеченным займам</t>
  </si>
  <si>
    <t>Доход от переуступки прав требований по займам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</si>
  <si>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</si>
  <si>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 xml:space="preserve">Чистая прибыль (убыток) от операций с ценными бумагами, оцениваемыми по справедливой стоимости через прочий совокупный доход </t>
  </si>
  <si>
    <t>Место нахождения головного банка: г.Нур-Султан, район Есиль, ул. Сығанақ, д. 24</t>
  </si>
  <si>
    <t xml:space="preserve">Приобретение ценных бумаг, оцениваемых по справедливой стоимости через прочий совокупный доход </t>
  </si>
  <si>
    <t>Продажа и погашение ценных бумаг, оцениваемых по справедливой стоимости через прочий совокупный доход</t>
  </si>
  <si>
    <t>Приобретение ценных бумаг, оцениваемых по амортизированной стоимости</t>
  </si>
  <si>
    <t>Погашение ценных бумаг, оцениваемых по амортизированной стоимости</t>
  </si>
  <si>
    <t xml:space="preserve">(Выкуп)/продажа собственных простых акций </t>
  </si>
  <si>
    <t>Расформирование динамичекого резерва</t>
  </si>
  <si>
    <t>(Выкуп)/продажа собственных привилегированных акций</t>
  </si>
  <si>
    <t xml:space="preserve">  по состоянию на 30.06.2019 года</t>
  </si>
  <si>
    <t>30.06.2019г.*</t>
  </si>
  <si>
    <t>за период, закончившийся 30.06.2019 года</t>
  </si>
  <si>
    <t>6 месяцев 2019г.*</t>
  </si>
  <si>
    <t>Резерв изменений справедливой стоимости:</t>
  </si>
  <si>
    <t xml:space="preserve"> - чистое изменение справедливой стоимости</t>
  </si>
  <si>
    <t>Остаток по состоянию на 30 июня 2019 года*</t>
  </si>
  <si>
    <t>млн. тенге</t>
  </si>
  <si>
    <t>6 месяцев 2018г.*</t>
  </si>
  <si>
    <t>Инвестиционные ценные бумаги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</si>
  <si>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</si>
  <si>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</si>
  <si>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 xml:space="preserve">Резерв изменений справедливой стоимости </t>
  </si>
  <si>
    <t>Багаутдинова Н.М.</t>
  </si>
  <si>
    <t>Остаток по состоянию на 30 июня 2018 года*</t>
  </si>
  <si>
    <t>Остаток по состоянию на 1 января 2018 года с учетом МСФО *</t>
  </si>
  <si>
    <t>Убыток за период</t>
  </si>
  <si>
    <t>Убыток до налогообложения</t>
  </si>
  <si>
    <t>Прочий совокупный доход за период</t>
  </si>
  <si>
    <t>Дивиденды по акциям</t>
  </si>
  <si>
    <t>Чистые поступления (выбытия) по операциям с финансовыми инструментами, оцениваемыми по справедливой стоимости через прочий совокупный доход</t>
  </si>
  <si>
    <t>Чистые поступления по операциям с иностранной валютой</t>
  </si>
  <si>
    <t>Погашение долговых ценных бумаг выпущенных</t>
  </si>
  <si>
    <t>Балансовая стоимость одной простой акции по состоянию на 30.06.2019г. составляет 1,165 тенге</t>
  </si>
  <si>
    <t>Балансовая стоимость одной привилегированной акции по состоянию на 30.06.2019г. составляет 1,150 тенге</t>
  </si>
  <si>
    <t>АО "First Heartland Jýsan Bank"</t>
  </si>
  <si>
    <t xml:space="preserve"> - чистое изменение справедливой стоимости, перенесенное в состав прибыли или убытка</t>
  </si>
  <si>
    <t xml:space="preserve"> Чистое изменение справедливой стоимости</t>
  </si>
  <si>
    <t xml:space="preserve"> Чистое изменение справедливой стоимости, перенесенное в состав прибыли или убытка</t>
  </si>
  <si>
    <t>Остаток по состоянию на 1 января 2018 года*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</si>
</sst>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_ ;[Red]\-#,##0\ "/>
    <numFmt numFmtId="213" formatCode="#,##0\ _₽"/>
    <numFmt numFmtId="214" formatCode="_-* #,##0\ _₽_-;\-* #,##0\ _₽_-;_-* &quot;-&quot;??\ _₽_-;_-@_-"/>
    <numFmt numFmtId="215" formatCode="[$-2]###,000_);\([$-2]###,000\)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Arial CYR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b/>
      <sz val="12"/>
      <color indexed="9"/>
      <name val="Arial Cyr"/>
      <family val="0"/>
    </font>
    <font>
      <b/>
      <sz val="12"/>
      <name val="Arial Cyr"/>
      <family val="0"/>
    </font>
    <font>
      <i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3"/>
      <color indexed="9"/>
      <name val="Times New Roman"/>
      <family val="1"/>
    </font>
    <font>
      <sz val="10"/>
      <name val="Calibri"/>
      <family val="2"/>
    </font>
    <font>
      <sz val="12"/>
      <color indexed="40"/>
      <name val="Arial Cyr"/>
      <family val="0"/>
    </font>
    <font>
      <sz val="14"/>
      <color indexed="40"/>
      <name val="Times New Roman"/>
      <family val="1"/>
    </font>
    <font>
      <sz val="14"/>
      <color indexed="50"/>
      <name val="Times New Roman"/>
      <family val="1"/>
    </font>
    <font>
      <b/>
      <sz val="12"/>
      <color indexed="9"/>
      <name val="Times New Roman"/>
      <family val="1"/>
    </font>
    <font>
      <sz val="15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b/>
      <sz val="12"/>
      <color rgb="FFFF0000"/>
      <name val="Times New Roman"/>
      <family val="1"/>
    </font>
    <font>
      <sz val="10"/>
      <color theme="0"/>
      <name val="Arial Cyr"/>
      <family val="0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3"/>
      <color theme="0"/>
      <name val="Times New Roman"/>
      <family val="1"/>
    </font>
    <font>
      <sz val="12"/>
      <color rgb="FF00B0F0"/>
      <name val="Arial Cyr"/>
      <family val="0"/>
    </font>
    <font>
      <sz val="14"/>
      <color rgb="FF00B0F0"/>
      <name val="Times New Roman"/>
      <family val="1"/>
    </font>
    <font>
      <sz val="14"/>
      <color rgb="FF92D050"/>
      <name val="Times New Roman"/>
      <family val="1"/>
    </font>
    <font>
      <b/>
      <sz val="12"/>
      <color theme="0"/>
      <name val="Times New Roman"/>
      <family val="1"/>
    </font>
    <font>
      <sz val="15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>
        <color indexed="63"/>
      </right>
      <top/>
      <bottom style="thin"/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medium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91" fillId="28" borderId="0" applyNumberFormat="0" applyBorder="0" applyAlignment="0" applyProtection="0"/>
    <xf numFmtId="0" fontId="33" fillId="24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33" fillId="15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33" fillId="16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33" fillId="25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33" fillId="26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33" fillId="27" borderId="0" applyNumberFormat="0" applyBorder="0" applyAlignment="0" applyProtection="0"/>
    <xf numFmtId="0" fontId="91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185" fontId="58" fillId="0" borderId="0" applyFill="0" applyBorder="0" applyAlignment="0">
      <protection/>
    </xf>
    <xf numFmtId="0" fontId="36" fillId="38" borderId="1" applyNumberFormat="0" applyAlignment="0" applyProtection="0"/>
    <xf numFmtId="0" fontId="36" fillId="38" borderId="1" applyNumberFormat="0" applyAlignment="0" applyProtection="0"/>
    <xf numFmtId="0" fontId="41" fillId="39" borderId="2" applyNumberFormat="0" applyAlignment="0" applyProtection="0"/>
    <xf numFmtId="172" fontId="3" fillId="0" borderId="0" applyFont="0" applyFill="0" applyBorder="0" applyAlignment="0" applyProtection="0"/>
    <xf numFmtId="0" fontId="59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0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54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4" fillId="7" borderId="1" applyNumberFormat="0" applyAlignment="0" applyProtection="0"/>
    <xf numFmtId="10" fontId="54" fillId="40" borderId="10" applyNumberFormat="0" applyBorder="0" applyAlignment="0" applyProtection="0"/>
    <xf numFmtId="10" fontId="54" fillId="40" borderId="1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38" fontId="53" fillId="0" borderId="0">
      <alignment/>
      <protection/>
    </xf>
    <xf numFmtId="38" fontId="7" fillId="0" borderId="0">
      <alignment/>
      <protection/>
    </xf>
    <xf numFmtId="38" fontId="52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11" applyNumberFormat="0" applyFill="0" applyAlignment="0" applyProtection="0"/>
    <xf numFmtId="0" fontId="43" fillId="41" borderId="0" applyNumberFormat="0" applyBorder="0" applyAlignment="0" applyProtection="0"/>
    <xf numFmtId="186" fontId="61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2" fillId="0" borderId="0" applyNumberFormat="0" applyFill="0" applyBorder="0" applyAlignment="0" applyProtection="0"/>
    <xf numFmtId="40" fontId="63" fillId="0" borderId="0" applyBorder="0">
      <alignment horizontal="right"/>
      <protection/>
    </xf>
    <xf numFmtId="0" fontId="4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91" fillId="42" borderId="0" applyNumberFormat="0" applyBorder="0" applyAlignment="0" applyProtection="0"/>
    <xf numFmtId="0" fontId="33" fillId="34" borderId="0" applyNumberFormat="0" applyBorder="0" applyAlignment="0" applyProtection="0"/>
    <xf numFmtId="0" fontId="91" fillId="42" borderId="0" applyNumberFormat="0" applyBorder="0" applyAlignment="0" applyProtection="0"/>
    <xf numFmtId="0" fontId="91" fillId="43" borderId="0" applyNumberFormat="0" applyBorder="0" applyAlignment="0" applyProtection="0"/>
    <xf numFmtId="0" fontId="33" fillId="35" borderId="0" applyNumberFormat="0" applyBorder="0" applyAlignment="0" applyProtection="0"/>
    <xf numFmtId="0" fontId="91" fillId="43" borderId="0" applyNumberFormat="0" applyBorder="0" applyAlignment="0" applyProtection="0"/>
    <xf numFmtId="0" fontId="91" fillId="44" borderId="0" applyNumberFormat="0" applyBorder="0" applyAlignment="0" applyProtection="0"/>
    <xf numFmtId="0" fontId="33" fillId="36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33" fillId="2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33" fillId="2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33" fillId="37" borderId="0" applyNumberFormat="0" applyBorder="0" applyAlignment="0" applyProtection="0"/>
    <xf numFmtId="0" fontId="91" fillId="47" borderId="0" applyNumberFormat="0" applyBorder="0" applyAlignment="0" applyProtection="0"/>
    <xf numFmtId="0" fontId="92" fillId="48" borderId="15" applyNumberFormat="0" applyAlignment="0" applyProtection="0"/>
    <xf numFmtId="0" fontId="92" fillId="48" borderId="15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93" fillId="49" borderId="16" applyNumberFormat="0" applyAlignment="0" applyProtection="0"/>
    <xf numFmtId="0" fontId="93" fillId="49" borderId="16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94" fillId="49" borderId="15" applyNumberFormat="0" applyAlignment="0" applyProtection="0"/>
    <xf numFmtId="0" fontId="94" fillId="49" borderId="15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9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97" fillId="0" borderId="18" applyNumberFormat="0" applyFill="0" applyAlignment="0" applyProtection="0"/>
    <xf numFmtId="0" fontId="97" fillId="0" borderId="1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9" fillId="0" borderId="20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99" fillId="0" borderId="20" applyNumberFormat="0" applyFill="0" applyAlignment="0" applyProtection="0"/>
    <xf numFmtId="0" fontId="40" fillId="0" borderId="14" applyNumberFormat="0" applyFill="0" applyAlignment="0" applyProtection="0"/>
    <xf numFmtId="0" fontId="100" fillId="50" borderId="21" applyNumberFormat="0" applyAlignment="0" applyProtection="0"/>
    <xf numFmtId="0" fontId="41" fillId="39" borderId="2" applyNumberFormat="0" applyAlignment="0" applyProtection="0"/>
    <xf numFmtId="0" fontId="100" fillId="50" borderId="21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51" borderId="0" applyNumberFormat="0" applyBorder="0" applyAlignment="0" applyProtection="0"/>
    <xf numFmtId="0" fontId="102" fillId="5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4" fillId="0" borderId="0">
      <alignment horizontal="left"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6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04" fillId="0" borderId="0" applyNumberFormat="0" applyFill="0" applyBorder="0" applyAlignment="0" applyProtection="0"/>
    <xf numFmtId="0" fontId="105" fillId="52" borderId="0" applyNumberFormat="0" applyBorder="0" applyAlignment="0" applyProtection="0"/>
    <xf numFmtId="0" fontId="44" fillId="3" borderId="0" applyNumberFormat="0" applyBorder="0" applyAlignment="0" applyProtection="0"/>
    <xf numFmtId="0" fontId="105" fillId="52" borderId="0" applyNumberFormat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09" fillId="54" borderId="0" applyNumberFormat="0" applyBorder="0" applyAlignment="0" applyProtection="0"/>
    <xf numFmtId="0" fontId="48" fillId="4" borderId="0" applyNumberFormat="0" applyBorder="0" applyAlignment="0" applyProtection="0"/>
    <xf numFmtId="0" fontId="109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5" xfId="0" applyFont="1" applyBorder="1" applyAlignment="1">
      <alignment vertical="center" wrapText="1"/>
    </xf>
    <xf numFmtId="177" fontId="25" fillId="0" borderId="0" xfId="0" applyNumberFormat="1" applyFont="1" applyAlignment="1">
      <alignment/>
    </xf>
    <xf numFmtId="177" fontId="18" fillId="0" borderId="0" xfId="508" applyNumberFormat="1" applyFont="1" applyAlignment="1">
      <alignment horizontal="center" vertical="center" wrapText="1"/>
      <protection/>
    </xf>
    <xf numFmtId="177" fontId="28" fillId="0" borderId="0" xfId="0" applyNumberFormat="1" applyFont="1" applyAlignment="1">
      <alignment/>
    </xf>
    <xf numFmtId="177" fontId="18" fillId="55" borderId="0" xfId="508" applyNumberFormat="1" applyFont="1" applyFill="1" applyAlignment="1">
      <alignment horizontal="left" vertical="top" wrapText="1"/>
      <protection/>
    </xf>
    <xf numFmtId="177" fontId="25" fillId="0" borderId="0" xfId="0" applyNumberFormat="1" applyFont="1" applyFill="1" applyAlignment="1">
      <alignment/>
    </xf>
    <xf numFmtId="0" fontId="20" fillId="0" borderId="30" xfId="0" applyFont="1" applyFill="1" applyBorder="1" applyAlignment="1">
      <alignment/>
    </xf>
    <xf numFmtId="0" fontId="18" fillId="0" borderId="30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wrapText="1"/>
    </xf>
    <xf numFmtId="0" fontId="30" fillId="0" borderId="3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wrapText="1"/>
    </xf>
    <xf numFmtId="177" fontId="27" fillId="0" borderId="0" xfId="0" applyNumberFormat="1" applyFont="1" applyFill="1" applyAlignment="1">
      <alignment/>
    </xf>
    <xf numFmtId="0" fontId="20" fillId="0" borderId="32" xfId="0" applyFont="1" applyFill="1" applyBorder="1" applyAlignment="1">
      <alignment wrapText="1"/>
    </xf>
    <xf numFmtId="177" fontId="20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5" fillId="0" borderId="0" xfId="0" applyNumberFormat="1" applyFont="1" applyAlignment="1">
      <alignment horizontal="left" vertical="top" wrapText="1"/>
    </xf>
    <xf numFmtId="177" fontId="18" fillId="55" borderId="31" xfId="508" applyNumberFormat="1" applyFont="1" applyFill="1" applyBorder="1" applyAlignment="1">
      <alignment horizontal="left" vertical="top" wrapText="1"/>
      <protection/>
    </xf>
    <xf numFmtId="0" fontId="18" fillId="0" borderId="33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5" xfId="0" applyFont="1" applyFill="1" applyBorder="1" applyAlignment="1">
      <alignment wrapText="1"/>
    </xf>
    <xf numFmtId="0" fontId="20" fillId="0" borderId="31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177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2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3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1" fillId="0" borderId="27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77" fontId="20" fillId="0" borderId="38" xfId="510" applyNumberFormat="1" applyFont="1" applyFill="1" applyBorder="1" applyAlignment="1">
      <alignment horizontal="center" vertical="center" wrapText="1"/>
      <protection/>
    </xf>
    <xf numFmtId="177" fontId="31" fillId="0" borderId="34" xfId="0" applyNumberFormat="1" applyFont="1" applyFill="1" applyBorder="1" applyAlignment="1">
      <alignment horizontal="left" vertical="top" wrapText="1"/>
    </xf>
    <xf numFmtId="177" fontId="18" fillId="0" borderId="0" xfId="508" applyNumberFormat="1" applyFont="1" applyFill="1" applyAlignment="1">
      <alignment horizontal="right" vertical="top"/>
      <protection/>
    </xf>
    <xf numFmtId="177" fontId="20" fillId="0" borderId="38" xfId="508" applyNumberFormat="1" applyFont="1" applyFill="1" applyBorder="1" applyAlignment="1">
      <alignment horizontal="center" vertical="center" wrapText="1"/>
      <protection/>
    </xf>
    <xf numFmtId="177" fontId="25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vertical="top" wrapText="1"/>
    </xf>
    <xf numFmtId="175" fontId="5" fillId="0" borderId="28" xfId="1075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6" fillId="0" borderId="28" xfId="0" applyNumberFormat="1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vertical="center" wrapText="1"/>
    </xf>
    <xf numFmtId="175" fontId="10" fillId="0" borderId="27" xfId="0" applyNumberFormat="1" applyFont="1" applyFill="1" applyBorder="1" applyAlignment="1">
      <alignment wrapText="1"/>
    </xf>
    <xf numFmtId="173" fontId="10" fillId="0" borderId="27" xfId="553" applyNumberFormat="1" applyFont="1" applyFill="1" applyBorder="1" applyAlignment="1">
      <alignment vertical="center" wrapText="1"/>
    </xf>
    <xf numFmtId="173" fontId="26" fillId="0" borderId="27" xfId="553" applyNumberFormat="1" applyFont="1" applyFill="1" applyBorder="1" applyAlignment="1">
      <alignment vertical="center" wrapText="1"/>
    </xf>
    <xf numFmtId="175" fontId="26" fillId="0" borderId="27" xfId="0" applyNumberFormat="1" applyFont="1" applyFill="1" applyBorder="1" applyAlignment="1">
      <alignment wrapText="1"/>
    </xf>
    <xf numFmtId="173" fontId="49" fillId="0" borderId="27" xfId="553" applyNumberFormat="1" applyFont="1" applyFill="1" applyBorder="1" applyAlignment="1">
      <alignment/>
    </xf>
    <xf numFmtId="175" fontId="26" fillId="0" borderId="39" xfId="0" applyNumberFormat="1" applyFont="1" applyFill="1" applyBorder="1" applyAlignment="1">
      <alignment wrapText="1"/>
    </xf>
    <xf numFmtId="3" fontId="49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40" xfId="0" applyFont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25" fillId="0" borderId="0" xfId="0" applyFont="1" applyFill="1" applyAlignment="1">
      <alignment vertical="top"/>
    </xf>
    <xf numFmtId="177" fontId="28" fillId="0" borderId="0" xfId="0" applyNumberFormat="1" applyFont="1" applyFill="1" applyAlignment="1">
      <alignment/>
    </xf>
    <xf numFmtId="177" fontId="50" fillId="0" borderId="0" xfId="0" applyNumberFormat="1" applyFont="1" applyFill="1" applyAlignment="1">
      <alignment/>
    </xf>
    <xf numFmtId="177" fontId="20" fillId="0" borderId="41" xfId="510" applyNumberFormat="1" applyFont="1" applyFill="1" applyBorder="1" applyAlignment="1">
      <alignment horizontal="center" vertical="center" wrapText="1"/>
      <protection/>
    </xf>
    <xf numFmtId="177" fontId="20" fillId="0" borderId="42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horizontal="center" vertical="top"/>
    </xf>
    <xf numFmtId="177" fontId="51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3" fontId="108" fillId="0" borderId="0" xfId="0" applyNumberFormat="1" applyFont="1" applyFill="1" applyAlignment="1">
      <alignment/>
    </xf>
    <xf numFmtId="3" fontId="108" fillId="0" borderId="0" xfId="0" applyNumberFormat="1" applyFont="1" applyFill="1" applyAlignment="1">
      <alignment/>
    </xf>
    <xf numFmtId="0" fontId="108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7" fontId="110" fillId="0" borderId="0" xfId="0" applyNumberFormat="1" applyFont="1" applyFill="1" applyAlignment="1">
      <alignment/>
    </xf>
    <xf numFmtId="0" fontId="5" fillId="0" borderId="43" xfId="0" applyFont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2" fillId="55" borderId="43" xfId="0" applyFont="1" applyFill="1" applyBorder="1" applyAlignment="1">
      <alignment wrapText="1"/>
    </xf>
    <xf numFmtId="0" fontId="2" fillId="0" borderId="43" xfId="0" applyFont="1" applyBorder="1" applyAlignment="1">
      <alignment vertical="center" wrapText="1"/>
    </xf>
    <xf numFmtId="0" fontId="5" fillId="0" borderId="28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49" fontId="18" fillId="0" borderId="35" xfId="508" applyNumberFormat="1" applyFont="1" applyFill="1" applyBorder="1" applyAlignment="1">
      <alignment horizontal="center" vertical="center"/>
      <protection/>
    </xf>
    <xf numFmtId="49" fontId="18" fillId="0" borderId="44" xfId="508" applyNumberFormat="1" applyFont="1" applyFill="1" applyBorder="1" applyAlignment="1">
      <alignment horizontal="center" vertical="center"/>
      <protection/>
    </xf>
    <xf numFmtId="49" fontId="18" fillId="0" borderId="44" xfId="508" applyNumberFormat="1" applyFont="1" applyFill="1" applyBorder="1" applyAlignment="1" applyProtection="1">
      <alignment horizontal="center" vertical="center"/>
      <protection locked="0"/>
    </xf>
    <xf numFmtId="49" fontId="18" fillId="0" borderId="45" xfId="508" applyNumberFormat="1" applyFont="1" applyFill="1" applyBorder="1" applyAlignment="1">
      <alignment horizontal="center" vertical="center"/>
      <protection/>
    </xf>
    <xf numFmtId="0" fontId="20" fillId="0" borderId="3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73" fontId="0" fillId="0" borderId="0" xfId="553" applyNumberFormat="1" applyFont="1" applyAlignment="1">
      <alignment/>
    </xf>
    <xf numFmtId="0" fontId="26" fillId="0" borderId="46" xfId="0" applyFont="1" applyFill="1" applyBorder="1" applyAlignment="1">
      <alignment vertical="center" wrapText="1"/>
    </xf>
    <xf numFmtId="0" fontId="0" fillId="0" borderId="0" xfId="0" applyAlignment="1">
      <alignment/>
    </xf>
    <xf numFmtId="177" fontId="111" fillId="0" borderId="0" xfId="0" applyNumberFormat="1" applyFont="1" applyFill="1" applyBorder="1" applyAlignment="1">
      <alignment horizontal="right" vertical="top"/>
    </xf>
    <xf numFmtId="175" fontId="26" fillId="0" borderId="47" xfId="0" applyNumberFormat="1" applyFont="1" applyFill="1" applyBorder="1" applyAlignment="1">
      <alignment wrapText="1"/>
    </xf>
    <xf numFmtId="175" fontId="10" fillId="0" borderId="47" xfId="0" applyNumberFormat="1" applyFont="1" applyFill="1" applyBorder="1" applyAlignment="1">
      <alignment wrapText="1"/>
    </xf>
    <xf numFmtId="173" fontId="26" fillId="0" borderId="47" xfId="553" applyNumberFormat="1" applyFont="1" applyFill="1" applyBorder="1" applyAlignment="1">
      <alignment vertical="center" wrapText="1"/>
    </xf>
    <xf numFmtId="173" fontId="49" fillId="0" borderId="47" xfId="553" applyNumberFormat="1" applyFont="1" applyFill="1" applyBorder="1" applyAlignment="1">
      <alignment/>
    </xf>
    <xf numFmtId="175" fontId="26" fillId="0" borderId="48" xfId="0" applyNumberFormat="1" applyFont="1" applyFill="1" applyBorder="1" applyAlignment="1">
      <alignment wrapText="1"/>
    </xf>
    <xf numFmtId="0" fontId="91" fillId="0" borderId="0" xfId="0" applyFont="1" applyAlignment="1">
      <alignment/>
    </xf>
    <xf numFmtId="175" fontId="91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3" fontId="112" fillId="0" borderId="0" xfId="0" applyNumberFormat="1" applyFont="1" applyFill="1" applyAlignment="1">
      <alignment horizontal="right"/>
    </xf>
    <xf numFmtId="0" fontId="21" fillId="0" borderId="27" xfId="0" applyFont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24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wrapText="1"/>
    </xf>
    <xf numFmtId="0" fontId="24" fillId="0" borderId="27" xfId="0" applyFont="1" applyBorder="1" applyAlignment="1">
      <alignment vertical="center" wrapText="1"/>
    </xf>
    <xf numFmtId="0" fontId="113" fillId="0" borderId="27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49" fontId="2" fillId="0" borderId="27" xfId="0" applyNumberFormat="1" applyFont="1" applyBorder="1" applyAlignment="1">
      <alignment wrapText="1"/>
    </xf>
    <xf numFmtId="0" fontId="2" fillId="0" borderId="0" xfId="0" applyFont="1" applyAlignment="1">
      <alignment vertical="top" wrapText="1"/>
    </xf>
    <xf numFmtId="175" fontId="10" fillId="56" borderId="27" xfId="0" applyNumberFormat="1" applyFont="1" applyFill="1" applyBorder="1" applyAlignment="1">
      <alignment wrapText="1"/>
    </xf>
    <xf numFmtId="175" fontId="9" fillId="0" borderId="0" xfId="553" applyNumberFormat="1" applyFont="1" applyFill="1" applyBorder="1" applyAlignment="1">
      <alignment vertical="center" wrapText="1"/>
    </xf>
    <xf numFmtId="175" fontId="10" fillId="57" borderId="47" xfId="0" applyNumberFormat="1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0" fontId="4" fillId="0" borderId="50" xfId="0" applyFont="1" applyFill="1" applyBorder="1" applyAlignment="1">
      <alignment wrapText="1"/>
    </xf>
    <xf numFmtId="177" fontId="4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7" fontId="18" fillId="0" borderId="0" xfId="508" applyNumberFormat="1" applyFont="1" applyFill="1" applyAlignment="1">
      <alignment horizontal="left" vertical="top" wrapText="1"/>
      <protection/>
    </xf>
    <xf numFmtId="0" fontId="24" fillId="0" borderId="51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173" fontId="24" fillId="0" borderId="6" xfId="0" applyNumberFormat="1" applyFont="1" applyFill="1" applyBorder="1" applyAlignment="1">
      <alignment vertical="center" wrapText="1"/>
    </xf>
    <xf numFmtId="0" fontId="18" fillId="0" borderId="34" xfId="0" applyFont="1" applyFill="1" applyBorder="1" applyAlignment="1">
      <alignment/>
    </xf>
    <xf numFmtId="177" fontId="71" fillId="0" borderId="0" xfId="0" applyNumberFormat="1" applyFont="1" applyFill="1" applyAlignment="1">
      <alignment/>
    </xf>
    <xf numFmtId="177" fontId="72" fillId="0" borderId="0" xfId="0" applyNumberFormat="1" applyFont="1" applyFill="1" applyAlignment="1">
      <alignment/>
    </xf>
    <xf numFmtId="175" fontId="9" fillId="0" borderId="43" xfId="1236" applyNumberFormat="1" applyFont="1" applyFill="1" applyBorder="1" applyAlignment="1">
      <alignment vertical="center" wrapText="1"/>
    </xf>
    <xf numFmtId="175" fontId="4" fillId="0" borderId="27" xfId="0" applyNumberFormat="1" applyFont="1" applyFill="1" applyBorder="1" applyAlignment="1">
      <alignment horizontal="right" wrapText="1"/>
    </xf>
    <xf numFmtId="0" fontId="7" fillId="0" borderId="28" xfId="0" applyFont="1" applyFill="1" applyBorder="1" applyAlignment="1">
      <alignment horizontal="center" wrapText="1"/>
    </xf>
    <xf numFmtId="0" fontId="114" fillId="0" borderId="0" xfId="0" applyFont="1" applyFill="1" applyBorder="1" applyAlignment="1">
      <alignment/>
    </xf>
    <xf numFmtId="173" fontId="23" fillId="0" borderId="6" xfId="0" applyNumberFormat="1" applyFont="1" applyFill="1" applyBorder="1" applyAlignment="1">
      <alignment vertical="center"/>
    </xf>
    <xf numFmtId="173" fontId="23" fillId="0" borderId="6" xfId="0" applyNumberFormat="1" applyFont="1" applyFill="1" applyBorder="1" applyAlignment="1">
      <alignment vertical="center" wrapText="1"/>
    </xf>
    <xf numFmtId="177" fontId="114" fillId="0" borderId="0" xfId="508" applyNumberFormat="1" applyFont="1" applyFill="1" applyAlignment="1">
      <alignment horizontal="left" vertical="top" wrapText="1"/>
      <protection/>
    </xf>
    <xf numFmtId="0" fontId="23" fillId="0" borderId="27" xfId="0" applyFont="1" applyFill="1" applyBorder="1" applyAlignment="1">
      <alignment vertical="center" wrapText="1"/>
    </xf>
    <xf numFmtId="0" fontId="115" fillId="0" borderId="0" xfId="0" applyFont="1" applyAlignment="1">
      <alignment/>
    </xf>
    <xf numFmtId="0" fontId="91" fillId="0" borderId="0" xfId="0" applyFont="1" applyAlignment="1">
      <alignment/>
    </xf>
    <xf numFmtId="0" fontId="115" fillId="0" borderId="0" xfId="0" applyFont="1" applyFill="1" applyAlignment="1">
      <alignment/>
    </xf>
    <xf numFmtId="174" fontId="115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0" fontId="116" fillId="0" borderId="0" xfId="0" applyFont="1" applyFill="1" applyAlignment="1">
      <alignment/>
    </xf>
    <xf numFmtId="174" fontId="117" fillId="0" borderId="0" xfId="0" applyNumberFormat="1" applyFont="1" applyFill="1" applyAlignment="1">
      <alignment/>
    </xf>
    <xf numFmtId="175" fontId="115" fillId="0" borderId="0" xfId="0" applyNumberFormat="1" applyFont="1" applyAlignment="1">
      <alignment/>
    </xf>
    <xf numFmtId="174" fontId="115" fillId="0" borderId="0" xfId="0" applyNumberFormat="1" applyFont="1" applyAlignment="1">
      <alignment/>
    </xf>
    <xf numFmtId="0" fontId="118" fillId="0" borderId="0" xfId="0" applyFont="1" applyFill="1" applyAlignment="1">
      <alignment horizontal="right"/>
    </xf>
    <xf numFmtId="175" fontId="9" fillId="0" borderId="52" xfId="1236" applyNumberFormat="1" applyFont="1" applyFill="1" applyBorder="1" applyAlignment="1">
      <alignment vertical="center" wrapText="1"/>
    </xf>
    <xf numFmtId="177" fontId="20" fillId="0" borderId="10" xfId="0" applyNumberFormat="1" applyFont="1" applyFill="1" applyBorder="1" applyAlignment="1">
      <alignment horizontal="right" vertical="top"/>
    </xf>
    <xf numFmtId="177" fontId="20" fillId="0" borderId="53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5" fontId="18" fillId="0" borderId="10" xfId="0" applyNumberFormat="1" applyFont="1" applyFill="1" applyBorder="1" applyAlignment="1">
      <alignment horizontal="right" vertical="top"/>
    </xf>
    <xf numFmtId="177" fontId="18" fillId="0" borderId="38" xfId="0" applyNumberFormat="1" applyFont="1" applyFill="1" applyBorder="1" applyAlignment="1">
      <alignment horizontal="right" vertical="top"/>
    </xf>
    <xf numFmtId="177" fontId="20" fillId="0" borderId="42" xfId="0" applyNumberFormat="1" applyFont="1" applyFill="1" applyBorder="1" applyAlignment="1">
      <alignment horizontal="right" vertical="top"/>
    </xf>
    <xf numFmtId="177" fontId="20" fillId="0" borderId="38" xfId="0" applyNumberFormat="1" applyFont="1" applyFill="1" applyBorder="1" applyAlignment="1">
      <alignment horizontal="right" vertical="top"/>
    </xf>
    <xf numFmtId="177" fontId="18" fillId="0" borderId="44" xfId="0" applyNumberFormat="1" applyFont="1" applyFill="1" applyBorder="1" applyAlignment="1">
      <alignment horizontal="right" vertical="top"/>
    </xf>
    <xf numFmtId="177" fontId="20" fillId="0" borderId="44" xfId="0" applyNumberFormat="1" applyFont="1" applyFill="1" applyBorder="1" applyAlignment="1">
      <alignment horizontal="right" vertical="top"/>
    </xf>
    <xf numFmtId="177" fontId="20" fillId="0" borderId="45" xfId="0" applyNumberFormat="1" applyFont="1" applyFill="1" applyBorder="1" applyAlignment="1">
      <alignment horizontal="right" vertical="top"/>
    </xf>
    <xf numFmtId="177" fontId="18" fillId="0" borderId="54" xfId="0" applyNumberFormat="1" applyFont="1" applyFill="1" applyBorder="1" applyAlignment="1">
      <alignment horizontal="right" vertical="top"/>
    </xf>
    <xf numFmtId="177" fontId="18" fillId="0" borderId="55" xfId="0" applyNumberFormat="1" applyFont="1" applyFill="1" applyBorder="1" applyAlignment="1">
      <alignment horizontal="right" vertical="top"/>
    </xf>
    <xf numFmtId="177" fontId="18" fillId="0" borderId="56" xfId="0" applyNumberFormat="1" applyFont="1" applyFill="1" applyBorder="1" applyAlignment="1">
      <alignment horizontal="right" vertical="top"/>
    </xf>
    <xf numFmtId="175" fontId="18" fillId="0" borderId="56" xfId="0" applyNumberFormat="1" applyFont="1" applyFill="1" applyBorder="1" applyAlignment="1">
      <alignment horizontal="right" vertical="top"/>
    </xf>
    <xf numFmtId="177" fontId="20" fillId="0" borderId="57" xfId="0" applyNumberFormat="1" applyFont="1" applyFill="1" applyBorder="1" applyAlignment="1">
      <alignment horizontal="right" vertical="top"/>
    </xf>
    <xf numFmtId="177" fontId="29" fillId="0" borderId="56" xfId="0" applyNumberFormat="1" applyFont="1" applyFill="1" applyBorder="1" applyAlignment="1">
      <alignment horizontal="right" vertical="top"/>
    </xf>
    <xf numFmtId="177" fontId="29" fillId="0" borderId="57" xfId="0" applyNumberFormat="1" applyFont="1" applyFill="1" applyBorder="1" applyAlignment="1">
      <alignment horizontal="right" vertical="top"/>
    </xf>
    <xf numFmtId="177" fontId="18" fillId="0" borderId="42" xfId="0" applyNumberFormat="1" applyFont="1" applyFill="1" applyBorder="1" applyAlignment="1">
      <alignment horizontal="right" vertical="top"/>
    </xf>
    <xf numFmtId="177" fontId="20" fillId="0" borderId="56" xfId="0" applyNumberFormat="1" applyFont="1" applyFill="1" applyBorder="1" applyAlignment="1">
      <alignment horizontal="right" vertical="top"/>
    </xf>
    <xf numFmtId="177" fontId="20" fillId="0" borderId="58" xfId="0" applyNumberFormat="1" applyFont="1" applyFill="1" applyBorder="1" applyAlignment="1">
      <alignment horizontal="right" vertical="top"/>
    </xf>
    <xf numFmtId="177" fontId="20" fillId="0" borderId="59" xfId="0" applyNumberFormat="1" applyFont="1" applyFill="1" applyBorder="1" applyAlignment="1">
      <alignment horizontal="right" vertical="top"/>
    </xf>
    <xf numFmtId="0" fontId="119" fillId="0" borderId="0" xfId="0" applyFont="1" applyFill="1" applyBorder="1" applyAlignment="1">
      <alignment wrapText="1"/>
    </xf>
    <xf numFmtId="177" fontId="12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121" fillId="0" borderId="0" xfId="0" applyFont="1" applyAlignment="1">
      <alignment/>
    </xf>
    <xf numFmtId="171" fontId="2" fillId="0" borderId="27" xfId="553" applyFont="1" applyBorder="1" applyAlignment="1">
      <alignment wrapText="1"/>
    </xf>
    <xf numFmtId="171" fontId="2" fillId="0" borderId="0" xfId="553" applyFont="1" applyAlignment="1">
      <alignment/>
    </xf>
    <xf numFmtId="177" fontId="114" fillId="0" borderId="0" xfId="508" applyNumberFormat="1" applyFont="1" applyFill="1" applyAlignment="1">
      <alignment horizontal="right" vertical="top"/>
      <protection/>
    </xf>
    <xf numFmtId="174" fontId="2" fillId="0" borderId="0" xfId="0" applyNumberFormat="1" applyFont="1" applyFill="1" applyAlignment="1">
      <alignment/>
    </xf>
    <xf numFmtId="175" fontId="49" fillId="0" borderId="0" xfId="0" applyNumberFormat="1" applyFont="1" applyFill="1" applyAlignment="1">
      <alignment/>
    </xf>
    <xf numFmtId="175" fontId="85" fillId="0" borderId="0" xfId="0" applyNumberFormat="1" applyFont="1" applyFill="1" applyAlignment="1">
      <alignment/>
    </xf>
    <xf numFmtId="174" fontId="85" fillId="0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174" fontId="14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3" fontId="2" fillId="0" borderId="0" xfId="553" applyNumberFormat="1" applyFont="1" applyAlignment="1">
      <alignment/>
    </xf>
    <xf numFmtId="175" fontId="49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20" fillId="0" borderId="30" xfId="0" applyFont="1" applyFill="1" applyBorder="1" applyAlignment="1">
      <alignment horizontal="left" vertical="top" wrapText="1"/>
    </xf>
    <xf numFmtId="177" fontId="29" fillId="0" borderId="10" xfId="0" applyNumberFormat="1" applyFont="1" applyFill="1" applyBorder="1" applyAlignment="1">
      <alignment horizontal="right" vertical="top"/>
    </xf>
    <xf numFmtId="0" fontId="20" fillId="0" borderId="31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177" fontId="20" fillId="0" borderId="60" xfId="0" applyNumberFormat="1" applyFont="1" applyFill="1" applyBorder="1" applyAlignment="1">
      <alignment horizontal="right" vertical="top"/>
    </xf>
    <xf numFmtId="177" fontId="20" fillId="0" borderId="61" xfId="0" applyNumberFormat="1" applyFont="1" applyFill="1" applyBorder="1" applyAlignment="1">
      <alignment horizontal="right" vertical="top"/>
    </xf>
    <xf numFmtId="0" fontId="18" fillId="0" borderId="30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wrapText="1"/>
    </xf>
    <xf numFmtId="177" fontId="20" fillId="0" borderId="63" xfId="0" applyNumberFormat="1" applyFont="1" applyFill="1" applyBorder="1" applyAlignment="1">
      <alignment horizontal="right" vertical="top"/>
    </xf>
    <xf numFmtId="177" fontId="20" fillId="0" borderId="64" xfId="0" applyNumberFormat="1" applyFont="1" applyFill="1" applyBorder="1" applyAlignment="1">
      <alignment horizontal="right" vertical="top"/>
    </xf>
    <xf numFmtId="177" fontId="122" fillId="0" borderId="0" xfId="0" applyNumberFormat="1" applyFont="1" applyFill="1" applyAlignment="1">
      <alignment/>
    </xf>
    <xf numFmtId="0" fontId="123" fillId="0" borderId="0" xfId="0" applyFont="1" applyFill="1" applyAlignment="1">
      <alignment/>
    </xf>
    <xf numFmtId="0" fontId="4" fillId="0" borderId="65" xfId="0" applyFont="1" applyBorder="1" applyAlignment="1">
      <alignment wrapText="1"/>
    </xf>
    <xf numFmtId="0" fontId="2" fillId="0" borderId="0" xfId="0" applyFont="1" applyAlignment="1">
      <alignment horizontal="right"/>
    </xf>
    <xf numFmtId="173" fontId="2" fillId="0" borderId="66" xfId="553" applyNumberFormat="1" applyFont="1" applyFill="1" applyBorder="1" applyAlignment="1">
      <alignment wrapText="1"/>
    </xf>
    <xf numFmtId="173" fontId="4" fillId="0" borderId="25" xfId="0" applyNumberFormat="1" applyFont="1" applyFill="1" applyBorder="1" applyAlignment="1">
      <alignment wrapText="1"/>
    </xf>
    <xf numFmtId="173" fontId="2" fillId="0" borderId="67" xfId="553" applyNumberFormat="1" applyFont="1" applyBorder="1" applyAlignment="1">
      <alignment wrapText="1"/>
    </xf>
    <xf numFmtId="173" fontId="4" fillId="0" borderId="28" xfId="0" applyNumberFormat="1" applyFont="1" applyBorder="1" applyAlignment="1">
      <alignment wrapText="1"/>
    </xf>
    <xf numFmtId="173" fontId="2" fillId="0" borderId="66" xfId="553" applyNumberFormat="1" applyFont="1" applyBorder="1" applyAlignment="1">
      <alignment wrapText="1"/>
    </xf>
    <xf numFmtId="175" fontId="2" fillId="0" borderId="27" xfId="0" applyNumberFormat="1" applyFont="1" applyFill="1" applyBorder="1" applyAlignment="1">
      <alignment horizontal="right" wrapText="1" indent="1"/>
    </xf>
    <xf numFmtId="0" fontId="4" fillId="0" borderId="6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4" fillId="0" borderId="69" xfId="0" applyFont="1" applyFill="1" applyBorder="1" applyAlignment="1">
      <alignment wrapText="1"/>
    </xf>
    <xf numFmtId="0" fontId="21" fillId="0" borderId="47" xfId="0" applyFont="1" applyBorder="1" applyAlignment="1">
      <alignment wrapText="1"/>
    </xf>
    <xf numFmtId="0" fontId="4" fillId="0" borderId="70" xfId="0" applyFont="1" applyFill="1" applyBorder="1" applyAlignment="1">
      <alignment wrapText="1"/>
    </xf>
    <xf numFmtId="173" fontId="2" fillId="0" borderId="43" xfId="553" applyNumberFormat="1" applyFont="1" applyBorder="1" applyAlignment="1">
      <alignment wrapText="1"/>
    </xf>
    <xf numFmtId="175" fontId="4" fillId="0" borderId="28" xfId="0" applyNumberFormat="1" applyFont="1" applyBorder="1" applyAlignment="1">
      <alignment wrapText="1"/>
    </xf>
    <xf numFmtId="173" fontId="2" fillId="0" borderId="47" xfId="553" applyNumberFormat="1" applyFont="1" applyBorder="1" applyAlignment="1">
      <alignment wrapText="1"/>
    </xf>
    <xf numFmtId="175" fontId="5" fillId="0" borderId="69" xfId="553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175" fontId="9" fillId="0" borderId="29" xfId="1236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right" wrapText="1"/>
    </xf>
    <xf numFmtId="0" fontId="4" fillId="0" borderId="29" xfId="0" applyFont="1" applyBorder="1" applyAlignment="1">
      <alignment wrapText="1"/>
    </xf>
    <xf numFmtId="173" fontId="2" fillId="0" borderId="27" xfId="553" applyNumberFormat="1" applyFont="1" applyFill="1" applyBorder="1" applyAlignment="1">
      <alignment wrapText="1"/>
    </xf>
    <xf numFmtId="173" fontId="4" fillId="0" borderId="28" xfId="0" applyNumberFormat="1" applyFont="1" applyFill="1" applyBorder="1" applyAlignment="1">
      <alignment wrapText="1"/>
    </xf>
    <xf numFmtId="173" fontId="2" fillId="0" borderId="27" xfId="553" applyNumberFormat="1" applyFont="1" applyBorder="1" applyAlignment="1">
      <alignment wrapText="1"/>
    </xf>
    <xf numFmtId="175" fontId="73" fillId="0" borderId="43" xfId="1236" applyNumberFormat="1" applyFont="1" applyFill="1" applyBorder="1" applyAlignment="1">
      <alignment vertical="center" wrapText="1"/>
    </xf>
    <xf numFmtId="173" fontId="124" fillId="0" borderId="0" xfId="0" applyNumberFormat="1" applyFont="1" applyAlignment="1">
      <alignment vertical="top" wrapText="1"/>
    </xf>
    <xf numFmtId="0" fontId="10" fillId="0" borderId="0" xfId="0" applyFont="1" applyAlignment="1">
      <alignment/>
    </xf>
    <xf numFmtId="175" fontId="9" fillId="0" borderId="69" xfId="553" applyNumberFormat="1" applyFont="1" applyFill="1" applyBorder="1" applyAlignment="1">
      <alignment vertical="center" wrapText="1"/>
    </xf>
    <xf numFmtId="173" fontId="24" fillId="0" borderId="27" xfId="0" applyNumberFormat="1" applyFont="1" applyFill="1" applyBorder="1" applyAlignment="1">
      <alignment vertical="center" wrapText="1"/>
    </xf>
    <xf numFmtId="173" fontId="23" fillId="0" borderId="27" xfId="0" applyNumberFormat="1" applyFont="1" applyFill="1" applyBorder="1" applyAlignment="1">
      <alignment vertical="center"/>
    </xf>
    <xf numFmtId="173" fontId="23" fillId="0" borderId="27" xfId="0" applyNumberFormat="1" applyFont="1" applyFill="1" applyBorder="1" applyAlignment="1">
      <alignment vertical="center" wrapText="1"/>
    </xf>
    <xf numFmtId="175" fontId="10" fillId="0" borderId="27" xfId="0" applyNumberFormat="1" applyFont="1" applyFill="1" applyBorder="1" applyAlignment="1">
      <alignment vertical="top" wrapText="1"/>
    </xf>
    <xf numFmtId="177" fontId="125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4" fillId="0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7" fontId="18" fillId="0" borderId="0" xfId="508" applyNumberFormat="1" applyFont="1" applyAlignment="1">
      <alignment horizontal="left" vertical="top" wrapText="1"/>
      <protection/>
    </xf>
    <xf numFmtId="177" fontId="114" fillId="55" borderId="0" xfId="509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 wrapText="1"/>
      <protection/>
    </xf>
    <xf numFmtId="177" fontId="20" fillId="55" borderId="0" xfId="508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/>
      <protection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81"/>
  <sheetViews>
    <sheetView tabSelected="1" zoomScale="83" zoomScaleNormal="83" zoomScalePageLayoutView="0" workbookViewId="0" topLeftCell="A1">
      <selection activeCell="A6" sqref="A6"/>
    </sheetView>
  </sheetViews>
  <sheetFormatPr defaultColWidth="9.140625" defaultRowHeight="15"/>
  <cols>
    <col min="1" max="1" width="92.140625" style="2" customWidth="1"/>
    <col min="2" max="2" width="28.421875" style="2" customWidth="1"/>
    <col min="3" max="3" width="25.57421875" style="2" customWidth="1"/>
    <col min="4" max="4" width="7.00390625" style="184" customWidth="1"/>
    <col min="5" max="5" width="6.00390625" style="184" customWidth="1"/>
    <col min="6" max="6" width="20.8515625" style="2" customWidth="1"/>
    <col min="7" max="7" width="14.00390625" style="2" customWidth="1"/>
    <col min="8" max="8" width="12.140625" style="2" bestFit="1" customWidth="1"/>
    <col min="9" max="16384" width="9.140625" style="2" customWidth="1"/>
  </cols>
  <sheetData>
    <row r="1" spans="1:3" ht="18.75">
      <c r="A1" s="45" t="s">
        <v>86</v>
      </c>
      <c r="B1" s="45"/>
      <c r="C1" s="45"/>
    </row>
    <row r="2" spans="1:3" ht="18.75">
      <c r="A2" s="46" t="s">
        <v>87</v>
      </c>
      <c r="B2" s="46"/>
      <c r="C2" s="46"/>
    </row>
    <row r="3" spans="1:3" ht="18.75">
      <c r="A3" s="46" t="s">
        <v>88</v>
      </c>
      <c r="B3" s="46"/>
      <c r="C3" s="46"/>
    </row>
    <row r="4" spans="1:3" ht="18.75">
      <c r="A4" s="46" t="s">
        <v>89</v>
      </c>
      <c r="B4" s="46"/>
      <c r="C4" s="46"/>
    </row>
    <row r="5" spans="1:3" ht="18.75" customHeight="1">
      <c r="A5" s="47" t="s">
        <v>188</v>
      </c>
      <c r="B5" s="47"/>
      <c r="C5" s="47"/>
    </row>
    <row r="7" spans="1:3" ht="18.75">
      <c r="A7" s="282" t="s">
        <v>0</v>
      </c>
      <c r="B7" s="282"/>
      <c r="C7" s="282"/>
    </row>
    <row r="8" spans="1:3" ht="18.75">
      <c r="A8" s="282" t="s">
        <v>1</v>
      </c>
      <c r="B8" s="282"/>
      <c r="C8" s="282"/>
    </row>
    <row r="9" spans="1:5" ht="18.75">
      <c r="A9" s="282" t="s">
        <v>221</v>
      </c>
      <c r="B9" s="282"/>
      <c r="C9" s="282"/>
      <c r="D9" s="185"/>
      <c r="E9" s="185"/>
    </row>
    <row r="10" spans="1:3" ht="18.75">
      <c r="A10" s="282" t="s">
        <v>196</v>
      </c>
      <c r="B10" s="282"/>
      <c r="C10" s="282"/>
    </row>
    <row r="11" spans="1:3" ht="18.75" hidden="1">
      <c r="A11" s="283" t="s">
        <v>175</v>
      </c>
      <c r="B11" s="283"/>
      <c r="C11" s="283"/>
    </row>
    <row r="12" ht="19.5" thickBot="1">
      <c r="C12" s="248" t="s">
        <v>203</v>
      </c>
    </row>
    <row r="13" spans="1:3" ht="18.75" customHeight="1" thickBot="1">
      <c r="A13" s="3"/>
      <c r="B13" s="4" t="s">
        <v>197</v>
      </c>
      <c r="C13" s="178" t="s">
        <v>170</v>
      </c>
    </row>
    <row r="14" spans="1:3" ht="18.75">
      <c r="A14" s="5" t="s">
        <v>2</v>
      </c>
      <c r="B14" s="247"/>
      <c r="C14" s="269"/>
    </row>
    <row r="15" spans="1:5" s="1" customFormat="1" ht="18.75">
      <c r="A15" s="87" t="s">
        <v>3</v>
      </c>
      <c r="B15" s="249">
        <v>237510</v>
      </c>
      <c r="C15" s="270">
        <v>55395</v>
      </c>
      <c r="D15" s="186"/>
      <c r="E15" s="186"/>
    </row>
    <row r="16" spans="1:6" s="1" customFormat="1" ht="18.75">
      <c r="A16" s="87" t="s">
        <v>4</v>
      </c>
      <c r="B16" s="249">
        <v>4447</v>
      </c>
      <c r="C16" s="270">
        <v>19013</v>
      </c>
      <c r="D16" s="187"/>
      <c r="E16" s="186"/>
      <c r="F16" s="224"/>
    </row>
    <row r="17" spans="1:7" s="1" customFormat="1" ht="37.5">
      <c r="A17" s="87" t="s">
        <v>104</v>
      </c>
      <c r="B17" s="249">
        <v>4851</v>
      </c>
      <c r="C17" s="270">
        <v>6124</v>
      </c>
      <c r="D17" s="186"/>
      <c r="E17" s="186"/>
      <c r="G17" s="246"/>
    </row>
    <row r="18" spans="1:5" s="1" customFormat="1" ht="18.75" hidden="1">
      <c r="A18" s="88" t="s">
        <v>5</v>
      </c>
      <c r="B18" s="249">
        <v>0</v>
      </c>
      <c r="C18" s="270">
        <v>0</v>
      </c>
      <c r="D18" s="187"/>
      <c r="E18" s="186"/>
    </row>
    <row r="19" spans="1:5" s="1" customFormat="1" ht="18.75" hidden="1">
      <c r="A19" s="88" t="s">
        <v>105</v>
      </c>
      <c r="B19" s="249">
        <v>0</v>
      </c>
      <c r="C19" s="270">
        <v>0</v>
      </c>
      <c r="D19" s="188"/>
      <c r="E19" s="186"/>
    </row>
    <row r="20" spans="1:5" s="1" customFormat="1" ht="18.75">
      <c r="A20" s="88" t="s">
        <v>205</v>
      </c>
      <c r="B20" s="249">
        <v>568353</v>
      </c>
      <c r="C20" s="270">
        <v>99032</v>
      </c>
      <c r="D20" s="188"/>
      <c r="E20" s="186"/>
    </row>
    <row r="21" spans="1:9" s="1" customFormat="1" ht="38.25" customHeight="1" hidden="1">
      <c r="A21" s="87" t="s">
        <v>182</v>
      </c>
      <c r="B21" s="249">
        <v>0</v>
      </c>
      <c r="C21" s="270">
        <v>0</v>
      </c>
      <c r="D21" s="188"/>
      <c r="E21" s="188"/>
      <c r="G21" s="219"/>
      <c r="H21" s="219"/>
      <c r="I21" s="219"/>
    </row>
    <row r="22" spans="1:9" s="1" customFormat="1" ht="18.75" hidden="1">
      <c r="A22" s="88" t="s">
        <v>5</v>
      </c>
      <c r="B22" s="249">
        <v>0</v>
      </c>
      <c r="C22" s="270">
        <v>0</v>
      </c>
      <c r="D22" s="187"/>
      <c r="E22" s="188"/>
      <c r="G22" s="219"/>
      <c r="H22" s="219"/>
      <c r="I22" s="219"/>
    </row>
    <row r="23" spans="1:9" s="1" customFormat="1" ht="18.75" hidden="1">
      <c r="A23" s="88" t="s">
        <v>105</v>
      </c>
      <c r="B23" s="249">
        <v>0</v>
      </c>
      <c r="C23" s="270">
        <v>0</v>
      </c>
      <c r="D23" s="188"/>
      <c r="E23" s="188"/>
      <c r="F23" s="225"/>
      <c r="G23" s="219"/>
      <c r="H23" s="219"/>
      <c r="I23" s="219"/>
    </row>
    <row r="24" spans="1:9" s="1" customFormat="1" ht="18.75">
      <c r="A24" s="87" t="s">
        <v>6</v>
      </c>
      <c r="B24" s="249">
        <v>196395</v>
      </c>
      <c r="C24" s="270">
        <v>1368386</v>
      </c>
      <c r="D24" s="187"/>
      <c r="E24" s="188"/>
      <c r="F24" s="219"/>
      <c r="G24" s="219"/>
      <c r="H24" s="219"/>
      <c r="I24" s="219"/>
    </row>
    <row r="25" spans="1:9" s="1" customFormat="1" ht="18.75" hidden="1">
      <c r="A25" s="87" t="s">
        <v>183</v>
      </c>
      <c r="B25" s="249">
        <v>0</v>
      </c>
      <c r="C25" s="270">
        <v>0</v>
      </c>
      <c r="D25" s="188"/>
      <c r="E25" s="188"/>
      <c r="G25" s="219"/>
      <c r="H25" s="219"/>
      <c r="I25" s="219"/>
    </row>
    <row r="26" spans="1:9" s="1" customFormat="1" ht="18.75" hidden="1">
      <c r="A26" s="88" t="s">
        <v>5</v>
      </c>
      <c r="B26" s="249">
        <v>0</v>
      </c>
      <c r="C26" s="270">
        <v>0</v>
      </c>
      <c r="D26" s="187"/>
      <c r="E26" s="188"/>
      <c r="F26" s="219"/>
      <c r="G26" s="219"/>
      <c r="H26" s="219"/>
      <c r="I26" s="219"/>
    </row>
    <row r="27" spans="1:9" s="1" customFormat="1" ht="18.75" hidden="1">
      <c r="A27" s="88" t="s">
        <v>105</v>
      </c>
      <c r="B27" s="249">
        <v>0</v>
      </c>
      <c r="C27" s="270">
        <v>0</v>
      </c>
      <c r="D27" s="188"/>
      <c r="E27" s="188"/>
      <c r="F27" s="225"/>
      <c r="G27" s="219"/>
      <c r="H27" s="219"/>
      <c r="I27" s="219"/>
    </row>
    <row r="28" spans="1:9" s="1" customFormat="1" ht="18.75" hidden="1">
      <c r="A28" s="88" t="s">
        <v>149</v>
      </c>
      <c r="B28" s="249">
        <v>0</v>
      </c>
      <c r="C28" s="270">
        <v>0</v>
      </c>
      <c r="D28" s="189"/>
      <c r="E28" s="189"/>
      <c r="F28" s="226"/>
      <c r="G28" s="219"/>
      <c r="H28" s="219"/>
      <c r="I28" s="219"/>
    </row>
    <row r="29" spans="1:9" s="1" customFormat="1" ht="18.75">
      <c r="A29" s="88" t="s">
        <v>65</v>
      </c>
      <c r="B29" s="249">
        <v>35460</v>
      </c>
      <c r="C29" s="270">
        <v>40241</v>
      </c>
      <c r="D29" s="190"/>
      <c r="E29" s="189"/>
      <c r="F29" s="219"/>
      <c r="G29" s="219"/>
      <c r="H29" s="219"/>
      <c r="I29" s="219"/>
    </row>
    <row r="30" spans="1:6" s="1" customFormat="1" ht="18.75">
      <c r="A30" s="87" t="s">
        <v>7</v>
      </c>
      <c r="B30" s="249">
        <v>53323</v>
      </c>
      <c r="C30" s="270">
        <v>47106</v>
      </c>
      <c r="D30" s="186"/>
      <c r="E30" s="186"/>
      <c r="F30" s="225"/>
    </row>
    <row r="31" spans="1:6" s="1" customFormat="1" ht="18.75">
      <c r="A31" s="87" t="s">
        <v>8</v>
      </c>
      <c r="B31" s="249">
        <v>13508</v>
      </c>
      <c r="C31" s="270">
        <v>26306</v>
      </c>
      <c r="D31" s="186"/>
      <c r="E31" s="186"/>
      <c r="F31" s="219"/>
    </row>
    <row r="32" spans="1:5" s="1" customFormat="1" ht="18.75">
      <c r="A32" s="89" t="s">
        <v>91</v>
      </c>
      <c r="B32" s="249">
        <v>3733</v>
      </c>
      <c r="C32" s="270">
        <v>1778</v>
      </c>
      <c r="D32" s="187"/>
      <c r="E32" s="186"/>
    </row>
    <row r="33" spans="1:6" s="1" customFormat="1" ht="18.75">
      <c r="A33" s="87" t="s">
        <v>90</v>
      </c>
      <c r="B33" s="249">
        <v>6844</v>
      </c>
      <c r="C33" s="270">
        <v>3045</v>
      </c>
      <c r="D33" s="186"/>
      <c r="E33" s="186"/>
      <c r="F33" s="219"/>
    </row>
    <row r="34" spans="1:6" s="1" customFormat="1" ht="18.75">
      <c r="A34" s="87" t="s">
        <v>9</v>
      </c>
      <c r="B34" s="249">
        <v>1251</v>
      </c>
      <c r="C34" s="270">
        <v>699</v>
      </c>
      <c r="D34" s="188"/>
      <c r="E34" s="186"/>
      <c r="F34" s="226"/>
    </row>
    <row r="35" spans="1:6" s="1" customFormat="1" ht="18.75">
      <c r="A35" s="87" t="s">
        <v>117</v>
      </c>
      <c r="B35" s="249">
        <v>2816</v>
      </c>
      <c r="C35" s="270">
        <v>2086</v>
      </c>
      <c r="D35" s="186"/>
      <c r="E35" s="186"/>
      <c r="F35" s="227"/>
    </row>
    <row r="36" spans="1:5" s="1" customFormat="1" ht="19.5" thickBot="1">
      <c r="A36" s="90" t="s">
        <v>10</v>
      </c>
      <c r="B36" s="249">
        <v>26510</v>
      </c>
      <c r="C36" s="270">
        <v>19918</v>
      </c>
      <c r="D36" s="187"/>
      <c r="E36" s="186"/>
    </row>
    <row r="37" spans="1:5" s="1" customFormat="1" ht="19.5" thickBot="1">
      <c r="A37" s="91" t="s">
        <v>106</v>
      </c>
      <c r="B37" s="250">
        <f>SUM(B15:B36)</f>
        <v>1155001</v>
      </c>
      <c r="C37" s="271">
        <f>SUM(C15:C36)</f>
        <v>1689129</v>
      </c>
      <c r="D37" s="186"/>
      <c r="E37" s="186"/>
    </row>
    <row r="38" spans="1:3" ht="19.5" thickBot="1">
      <c r="A38" s="7" t="s">
        <v>11</v>
      </c>
      <c r="B38" s="7"/>
      <c r="C38" s="7"/>
    </row>
    <row r="39" spans="1:7" ht="18.75">
      <c r="A39" s="48" t="s">
        <v>92</v>
      </c>
      <c r="B39" s="251">
        <v>0</v>
      </c>
      <c r="C39" s="261">
        <v>24749</v>
      </c>
      <c r="D39" s="191"/>
      <c r="G39" s="228"/>
    </row>
    <row r="40" spans="1:7" ht="18.75">
      <c r="A40" s="6" t="s">
        <v>12</v>
      </c>
      <c r="B40" s="251">
        <v>14089</v>
      </c>
      <c r="C40" s="261">
        <v>322538</v>
      </c>
      <c r="D40" s="191"/>
      <c r="E40" s="192"/>
      <c r="G40" s="228"/>
    </row>
    <row r="41" spans="1:7" ht="37.5" hidden="1">
      <c r="A41" s="6" t="s">
        <v>104</v>
      </c>
      <c r="B41" s="251">
        <v>0</v>
      </c>
      <c r="C41" s="261">
        <v>0</v>
      </c>
      <c r="D41" s="191"/>
      <c r="G41" s="228"/>
    </row>
    <row r="42" spans="1:7" ht="18.75">
      <c r="A42" s="6" t="s">
        <v>13</v>
      </c>
      <c r="B42" s="251">
        <v>600420</v>
      </c>
      <c r="C42" s="261">
        <v>806691</v>
      </c>
      <c r="D42" s="191"/>
      <c r="G42" s="228"/>
    </row>
    <row r="43" spans="1:7" ht="18.75">
      <c r="A43" s="6" t="s">
        <v>25</v>
      </c>
      <c r="B43" s="251">
        <v>142164</v>
      </c>
      <c r="C43" s="261">
        <v>75240</v>
      </c>
      <c r="D43" s="191"/>
      <c r="G43" s="228"/>
    </row>
    <row r="44" spans="1:7" ht="18.75">
      <c r="A44" s="6" t="s">
        <v>14</v>
      </c>
      <c r="B44" s="251">
        <v>83820</v>
      </c>
      <c r="C44" s="261">
        <v>86133</v>
      </c>
      <c r="D44" s="191"/>
      <c r="G44" s="228"/>
    </row>
    <row r="45" spans="1:7" ht="18.75">
      <c r="A45" s="42" t="s">
        <v>121</v>
      </c>
      <c r="B45" s="251">
        <v>50054</v>
      </c>
      <c r="C45" s="261">
        <v>122968</v>
      </c>
      <c r="D45" s="190"/>
      <c r="E45" s="190"/>
      <c r="F45" s="229"/>
      <c r="G45" s="228"/>
    </row>
    <row r="46" spans="1:7" ht="18.75">
      <c r="A46" s="42" t="s">
        <v>107</v>
      </c>
      <c r="B46" s="251">
        <v>6112</v>
      </c>
      <c r="C46" s="261">
        <v>4054</v>
      </c>
      <c r="D46" s="191"/>
      <c r="G46" s="228"/>
    </row>
    <row r="47" spans="1:7" ht="18.75">
      <c r="A47" s="49" t="s">
        <v>118</v>
      </c>
      <c r="B47" s="251">
        <v>81965</v>
      </c>
      <c r="C47" s="261">
        <v>16316</v>
      </c>
      <c r="D47" s="191"/>
      <c r="G47" s="228"/>
    </row>
    <row r="48" spans="1:7" ht="18.75">
      <c r="A48" s="42" t="s">
        <v>56</v>
      </c>
      <c r="B48" s="251">
        <v>111</v>
      </c>
      <c r="C48" s="261">
        <v>27</v>
      </c>
      <c r="D48" s="191"/>
      <c r="G48" s="228"/>
    </row>
    <row r="49" spans="1:7" ht="18.75" customHeight="1" thickBot="1">
      <c r="A49" s="50" t="s">
        <v>15</v>
      </c>
      <c r="B49" s="251">
        <v>27586</v>
      </c>
      <c r="C49" s="261">
        <v>10995</v>
      </c>
      <c r="D49" s="191"/>
      <c r="G49" s="228"/>
    </row>
    <row r="50" spans="1:3" ht="18.75" customHeight="1" thickBot="1">
      <c r="A50" s="7" t="s">
        <v>108</v>
      </c>
      <c r="B50" s="252">
        <f>SUM(B39:B49)</f>
        <v>1006321</v>
      </c>
      <c r="C50" s="252">
        <f>SUM(C39:C49)</f>
        <v>1469711</v>
      </c>
    </row>
    <row r="51" spans="1:3" ht="18.75">
      <c r="A51" s="5" t="s">
        <v>16</v>
      </c>
      <c r="B51" s="5"/>
      <c r="C51" s="5"/>
    </row>
    <row r="52" spans="1:7" ht="18.75">
      <c r="A52" s="6" t="s">
        <v>17</v>
      </c>
      <c r="B52" s="253">
        <v>206965</v>
      </c>
      <c r="C52" s="272">
        <v>128232</v>
      </c>
      <c r="D52" s="192"/>
      <c r="E52" s="192"/>
      <c r="F52" s="228"/>
      <c r="G52" s="230"/>
    </row>
    <row r="53" spans="1:7" ht="18.75">
      <c r="A53" s="6" t="s">
        <v>18</v>
      </c>
      <c r="B53" s="253">
        <v>242</v>
      </c>
      <c r="C53" s="272">
        <v>234</v>
      </c>
      <c r="D53" s="192"/>
      <c r="E53" s="192"/>
      <c r="F53" s="228"/>
      <c r="G53" s="230"/>
    </row>
    <row r="54" spans="1:7" ht="18.75">
      <c r="A54" s="87" t="s">
        <v>208</v>
      </c>
      <c r="B54" s="253">
        <v>2302</v>
      </c>
      <c r="C54" s="272">
        <v>1489</v>
      </c>
      <c r="D54" s="192"/>
      <c r="E54" s="192"/>
      <c r="F54" s="228"/>
      <c r="G54" s="230"/>
    </row>
    <row r="55" spans="1:7" ht="42.75" customHeight="1" hidden="1">
      <c r="A55" s="87" t="s">
        <v>172</v>
      </c>
      <c r="B55" s="253">
        <v>0</v>
      </c>
      <c r="C55" s="272">
        <v>0</v>
      </c>
      <c r="D55" s="192"/>
      <c r="E55" s="192"/>
      <c r="F55" s="228"/>
      <c r="G55" s="230"/>
    </row>
    <row r="56" spans="1:6" ht="54" customHeight="1" hidden="1">
      <c r="A56" s="6" t="s">
        <v>155</v>
      </c>
      <c r="B56" s="253">
        <v>0</v>
      </c>
      <c r="C56" s="272">
        <v>0</v>
      </c>
      <c r="D56" s="192"/>
      <c r="E56" s="192"/>
      <c r="F56" s="228"/>
    </row>
    <row r="57" spans="1:6" ht="39.75" customHeight="1" hidden="1">
      <c r="A57" s="6" t="s">
        <v>156</v>
      </c>
      <c r="B57" s="253">
        <v>0</v>
      </c>
      <c r="C57" s="272">
        <v>0</v>
      </c>
      <c r="D57" s="192"/>
      <c r="E57" s="192"/>
      <c r="F57" s="228"/>
    </row>
    <row r="58" spans="1:7" ht="18.75">
      <c r="A58" s="6" t="s">
        <v>123</v>
      </c>
      <c r="B58" s="253">
        <v>2895</v>
      </c>
      <c r="C58" s="272">
        <v>1627</v>
      </c>
      <c r="D58" s="192"/>
      <c r="E58" s="192"/>
      <c r="F58" s="228"/>
      <c r="G58" s="230"/>
    </row>
    <row r="59" spans="1:7" ht="19.5" customHeight="1">
      <c r="A59" s="6" t="s">
        <v>61</v>
      </c>
      <c r="B59" s="253">
        <v>33</v>
      </c>
      <c r="C59" s="272">
        <v>142</v>
      </c>
      <c r="D59" s="192"/>
      <c r="E59" s="192"/>
      <c r="F59" s="228"/>
      <c r="G59" s="230"/>
    </row>
    <row r="60" spans="1:7" ht="18.75" hidden="1">
      <c r="A60" s="6" t="s">
        <v>66</v>
      </c>
      <c r="B60" s="253">
        <v>0</v>
      </c>
      <c r="C60" s="272">
        <v>0</v>
      </c>
      <c r="D60" s="192"/>
      <c r="E60" s="192"/>
      <c r="F60" s="228"/>
      <c r="G60" s="230"/>
    </row>
    <row r="61" spans="1:7" ht="19.5" thickBot="1">
      <c r="A61" s="6" t="s">
        <v>24</v>
      </c>
      <c r="B61" s="254">
        <v>-63757</v>
      </c>
      <c r="C61" s="272">
        <v>87694</v>
      </c>
      <c r="D61" s="192"/>
      <c r="E61" s="192"/>
      <c r="F61" s="228"/>
      <c r="G61" s="230"/>
    </row>
    <row r="62" spans="1:3" ht="19.5" hidden="1" thickBot="1">
      <c r="A62" s="7" t="s">
        <v>20</v>
      </c>
      <c r="B62" s="7"/>
      <c r="C62" s="7"/>
    </row>
    <row r="63" spans="1:3" ht="19.5" hidden="1" thickBot="1">
      <c r="A63" s="8" t="s">
        <v>21</v>
      </c>
      <c r="B63" s="8"/>
      <c r="C63" s="8"/>
    </row>
    <row r="64" spans="1:3" ht="19.5" thickBot="1">
      <c r="A64" s="7" t="s">
        <v>22</v>
      </c>
      <c r="B64" s="252">
        <f>SUM(B52:B63)</f>
        <v>148680</v>
      </c>
      <c r="C64" s="252">
        <f>SUM(C52:C63)</f>
        <v>219418</v>
      </c>
    </row>
    <row r="65" spans="1:3" ht="19.5" thickBot="1">
      <c r="A65" s="7" t="s">
        <v>23</v>
      </c>
      <c r="B65" s="252">
        <f>B64+B50</f>
        <v>1155001</v>
      </c>
      <c r="C65" s="252">
        <f>C64+C50</f>
        <v>1689129</v>
      </c>
    </row>
    <row r="66" spans="1:3" ht="18.75">
      <c r="A66" s="158" t="s">
        <v>37</v>
      </c>
      <c r="B66" s="274">
        <f>B37-B65</f>
        <v>0</v>
      </c>
      <c r="C66" s="274">
        <f>C37-C65</f>
        <v>0</v>
      </c>
    </row>
    <row r="67" spans="1:3" ht="18.75">
      <c r="A67" s="158"/>
      <c r="B67" s="274"/>
      <c r="C67" s="274"/>
    </row>
    <row r="68" spans="1:3" ht="18.75">
      <c r="A68" s="275" t="s">
        <v>219</v>
      </c>
      <c r="B68" s="274"/>
      <c r="C68" s="274"/>
    </row>
    <row r="69" spans="1:3" ht="18.75">
      <c r="A69" s="275" t="s">
        <v>220</v>
      </c>
      <c r="B69" s="274"/>
      <c r="C69" s="274"/>
    </row>
    <row r="70" spans="1:3" ht="18.75">
      <c r="A70" s="158"/>
      <c r="B70" s="274"/>
      <c r="C70" s="274"/>
    </row>
    <row r="72" spans="1:3" ht="18.75">
      <c r="A72" s="51" t="s">
        <v>179</v>
      </c>
      <c r="B72" s="70" t="s">
        <v>178</v>
      </c>
      <c r="C72" s="51"/>
    </row>
    <row r="73" spans="1:9" s="1" customFormat="1" ht="18.75">
      <c r="A73" s="32"/>
      <c r="B73" s="13"/>
      <c r="C73" s="32"/>
      <c r="D73" s="184"/>
      <c r="E73" s="184"/>
      <c r="F73" s="2"/>
      <c r="G73" s="2"/>
      <c r="H73" s="2"/>
      <c r="I73" s="2"/>
    </row>
    <row r="74" spans="1:9" s="1" customFormat="1" ht="18.75">
      <c r="A74" s="33"/>
      <c r="B74" s="13"/>
      <c r="C74" s="33"/>
      <c r="D74" s="184"/>
      <c r="E74" s="184"/>
      <c r="F74" s="2"/>
      <c r="G74" s="2"/>
      <c r="H74" s="2"/>
      <c r="I74" s="2"/>
    </row>
    <row r="75" spans="1:9" s="1" customFormat="1" ht="18.75">
      <c r="A75" s="34" t="s">
        <v>180</v>
      </c>
      <c r="B75" s="86" t="s">
        <v>209</v>
      </c>
      <c r="C75" s="34"/>
      <c r="D75" s="184"/>
      <c r="E75" s="184"/>
      <c r="F75" s="2"/>
      <c r="G75" s="2"/>
      <c r="H75" s="2"/>
      <c r="I75" s="2"/>
    </row>
    <row r="76" spans="1:9" s="1" customFormat="1" ht="18.75">
      <c r="A76" s="34"/>
      <c r="B76" s="34"/>
      <c r="C76" s="34"/>
      <c r="D76" s="184"/>
      <c r="E76" s="184"/>
      <c r="F76" s="2"/>
      <c r="G76" s="2"/>
      <c r="H76" s="2"/>
      <c r="I76" s="2"/>
    </row>
    <row r="77" spans="1:9" s="1" customFormat="1" ht="18.75">
      <c r="A77" s="164"/>
      <c r="B77" s="164"/>
      <c r="C77" s="164"/>
      <c r="D77" s="184"/>
      <c r="E77" s="184"/>
      <c r="F77" s="2"/>
      <c r="G77" s="2"/>
      <c r="H77" s="2"/>
      <c r="I77" s="2"/>
    </row>
    <row r="78" spans="1:9" s="1" customFormat="1" ht="18.75">
      <c r="A78" s="165" t="s">
        <v>93</v>
      </c>
      <c r="B78" s="165"/>
      <c r="C78" s="165"/>
      <c r="D78" s="184"/>
      <c r="E78" s="184"/>
      <c r="F78" s="2"/>
      <c r="G78" s="2"/>
      <c r="H78" s="2"/>
      <c r="I78" s="2"/>
    </row>
    <row r="79" spans="1:9" s="1" customFormat="1" ht="19.5">
      <c r="A79" s="166" t="s">
        <v>94</v>
      </c>
      <c r="B79" s="166"/>
      <c r="C79" s="166"/>
      <c r="D79" s="184"/>
      <c r="E79" s="184"/>
      <c r="F79" s="2"/>
      <c r="G79" s="2"/>
      <c r="H79" s="2"/>
      <c r="I79" s="2"/>
    </row>
    <row r="80" spans="1:9" s="1" customFormat="1" ht="18.75">
      <c r="A80" s="167" t="s">
        <v>95</v>
      </c>
      <c r="B80" s="167"/>
      <c r="C80" s="167"/>
      <c r="D80" s="184"/>
      <c r="E80" s="184"/>
      <c r="F80" s="2"/>
      <c r="G80" s="2"/>
      <c r="H80" s="2"/>
      <c r="I80" s="2"/>
    </row>
    <row r="81" spans="1:9" s="1" customFormat="1" ht="18.75">
      <c r="A81" s="168"/>
      <c r="B81" s="168"/>
      <c r="C81" s="168"/>
      <c r="D81" s="184"/>
      <c r="E81" s="184"/>
      <c r="F81" s="2"/>
      <c r="G81" s="2"/>
      <c r="H81" s="2"/>
      <c r="I81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80" max="2" man="1"/>
  </rowBreaks>
  <colBreaks count="3" manualBreakCount="3">
    <brk id="16" max="65535" man="1"/>
    <brk id="34" max="65535" man="1"/>
    <brk id="52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93"/>
  <sheetViews>
    <sheetView view="pageBreakPreview" zoomScale="80" zoomScaleNormal="80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91.140625" style="54" customWidth="1"/>
    <col min="2" max="3" width="29.00390625" style="54" customWidth="1"/>
    <col min="4" max="4" width="9.140625" style="54" customWidth="1"/>
    <col min="5" max="5" width="21.140625" style="54" customWidth="1"/>
    <col min="6" max="6" width="13.421875" style="54" bestFit="1" customWidth="1"/>
    <col min="7" max="16384" width="9.140625" style="54" customWidth="1"/>
  </cols>
  <sheetData>
    <row r="1" spans="1:3" s="46" customFormat="1" ht="18.75">
      <c r="A1" s="45" t="str">
        <f>'[2]ф.1 конс.'!A1</f>
        <v>БИН                920140000084</v>
      </c>
      <c r="B1" s="45"/>
      <c r="C1" s="45"/>
    </row>
    <row r="2" s="46" customFormat="1" ht="18.75">
      <c r="A2" s="46" t="str">
        <f>'[2]ф.1 конс.'!A2</f>
        <v>Код ОКПО             19924793</v>
      </c>
    </row>
    <row r="3" s="46" customFormat="1" ht="18.75">
      <c r="A3" s="46" t="str">
        <f>'[2]ф.1 конс.'!A3</f>
        <v>БИК                   TSESKZKA</v>
      </c>
    </row>
    <row r="4" s="46" customFormat="1" ht="18.75">
      <c r="A4" s="46" t="str">
        <f>'[2]ф.1 конс.'!A4</f>
        <v>ИИК KZ48125KZT1001300336 в НБ РК</v>
      </c>
    </row>
    <row r="5" spans="1:3" s="46" customFormat="1" ht="18.75">
      <c r="A5" s="45" t="str">
        <f>'ф.1'!A5</f>
        <v>Место нахождения головного банка: г.Нур-Султан, район Есиль, ул. Сығанақ, д. 24</v>
      </c>
      <c r="B5" s="45"/>
      <c r="C5" s="45"/>
    </row>
    <row r="6" spans="1:3" s="53" customFormat="1" ht="16.5">
      <c r="A6" s="52"/>
      <c r="B6" s="52"/>
      <c r="C6" s="52"/>
    </row>
    <row r="7" spans="1:3" s="53" customFormat="1" ht="19.5">
      <c r="A7" s="285" t="s">
        <v>26</v>
      </c>
      <c r="B7" s="285"/>
      <c r="C7" s="285"/>
    </row>
    <row r="8" spans="1:3" s="53" customFormat="1" ht="19.5">
      <c r="A8" s="285" t="s">
        <v>1</v>
      </c>
      <c r="B8" s="285"/>
      <c r="C8" s="285"/>
    </row>
    <row r="9" spans="1:3" s="53" customFormat="1" ht="19.5">
      <c r="A9" s="285" t="str">
        <f>'ф.1'!A9</f>
        <v>АО "First Heartland Jýsan Bank"</v>
      </c>
      <c r="B9" s="285"/>
      <c r="C9" s="285"/>
    </row>
    <row r="10" spans="1:3" s="53" customFormat="1" ht="19.5">
      <c r="A10" s="285" t="s">
        <v>198</v>
      </c>
      <c r="B10" s="285"/>
      <c r="C10" s="285"/>
    </row>
    <row r="11" spans="1:3" s="220" customFormat="1" ht="19.5" customHeight="1">
      <c r="A11" s="284" t="str">
        <f>'ф.1'!A11</f>
        <v>(с учетом заключительных оборотов)</v>
      </c>
      <c r="B11" s="284"/>
      <c r="C11" s="284"/>
    </row>
    <row r="12" spans="1:3" ht="17.25" thickBot="1">
      <c r="A12" s="56"/>
      <c r="B12" s="56"/>
      <c r="C12" s="268" t="s">
        <v>203</v>
      </c>
    </row>
    <row r="13" spans="1:6" s="2" customFormat="1" ht="24.75" customHeight="1" thickBot="1">
      <c r="A13" s="122"/>
      <c r="B13" s="69" t="s">
        <v>199</v>
      </c>
      <c r="C13" s="69" t="s">
        <v>204</v>
      </c>
      <c r="F13" s="57"/>
    </row>
    <row r="14" spans="1:3" s="2" customFormat="1" ht="18.75" hidden="1">
      <c r="A14" s="118"/>
      <c r="B14" s="118"/>
      <c r="C14" s="118"/>
    </row>
    <row r="15" spans="1:3" s="2" customFormat="1" ht="37.5">
      <c r="A15" s="119" t="s">
        <v>206</v>
      </c>
      <c r="B15" s="176">
        <v>51541</v>
      </c>
      <c r="C15" s="176">
        <v>96362</v>
      </c>
    </row>
    <row r="16" spans="1:3" s="2" customFormat="1" ht="18.75">
      <c r="A16" s="119" t="s">
        <v>207</v>
      </c>
      <c r="B16" s="176">
        <v>285</v>
      </c>
      <c r="C16" s="176">
        <v>277</v>
      </c>
    </row>
    <row r="17" spans="1:3" s="2" customFormat="1" ht="19.5" thickBot="1">
      <c r="A17" s="6" t="s">
        <v>28</v>
      </c>
      <c r="B17" s="176">
        <v>-35808</v>
      </c>
      <c r="C17" s="176">
        <v>-60882</v>
      </c>
    </row>
    <row r="18" spans="1:3" s="2" customFormat="1" ht="19.5" hidden="1" thickBot="1">
      <c r="A18" s="42" t="s">
        <v>122</v>
      </c>
      <c r="B18" s="176">
        <f>(-125+17)*0</f>
        <v>0</v>
      </c>
      <c r="C18" s="176">
        <f>(-125+5)*0</f>
        <v>0</v>
      </c>
    </row>
    <row r="19" spans="1:3" s="2" customFormat="1" ht="19.5" hidden="1" thickBot="1">
      <c r="A19" s="42"/>
      <c r="B19" s="42"/>
      <c r="C19" s="42"/>
    </row>
    <row r="20" spans="1:3" s="2" customFormat="1" ht="19.5" thickBot="1">
      <c r="A20" s="7" t="s">
        <v>29</v>
      </c>
      <c r="B20" s="262">
        <f>SUM(B15:B17)</f>
        <v>16018</v>
      </c>
      <c r="C20" s="262">
        <f>SUM(C15:C17)</f>
        <v>35757</v>
      </c>
    </row>
    <row r="21" spans="1:3" s="2" customFormat="1" ht="18.75">
      <c r="A21" s="6" t="s">
        <v>30</v>
      </c>
      <c r="B21" s="176">
        <v>5092</v>
      </c>
      <c r="C21" s="176">
        <v>6235</v>
      </c>
    </row>
    <row r="22" spans="1:3" s="2" customFormat="1" ht="19.5" thickBot="1">
      <c r="A22" s="6" t="s">
        <v>31</v>
      </c>
      <c r="B22" s="176">
        <v>-2173</v>
      </c>
      <c r="C22" s="176">
        <v>-1951</v>
      </c>
    </row>
    <row r="23" spans="1:3" s="2" customFormat="1" ht="19.5" thickBot="1">
      <c r="A23" s="7" t="s">
        <v>32</v>
      </c>
      <c r="B23" s="262">
        <f>SUM(B21:B22)</f>
        <v>2919</v>
      </c>
      <c r="C23" s="262">
        <f>SUM(C21:C22)</f>
        <v>4284</v>
      </c>
    </row>
    <row r="24" spans="1:3" s="2" customFormat="1" ht="18.75">
      <c r="A24" s="120" t="s">
        <v>77</v>
      </c>
      <c r="B24" s="176">
        <v>3807</v>
      </c>
      <c r="C24" s="176">
        <v>3093</v>
      </c>
    </row>
    <row r="25" spans="1:3" s="2" customFormat="1" ht="18.75">
      <c r="A25" s="120" t="s">
        <v>96</v>
      </c>
      <c r="B25" s="176">
        <v>-1877</v>
      </c>
      <c r="C25" s="176">
        <v>-1079</v>
      </c>
    </row>
    <row r="26" spans="1:3" s="2" customFormat="1" ht="18.75">
      <c r="A26" s="119" t="s">
        <v>97</v>
      </c>
      <c r="B26" s="176">
        <v>1930</v>
      </c>
      <c r="C26" s="176">
        <v>2014</v>
      </c>
    </row>
    <row r="27" spans="1:3" s="2" customFormat="1" ht="18.75">
      <c r="A27" s="119" t="s">
        <v>98</v>
      </c>
      <c r="B27" s="176">
        <v>-985</v>
      </c>
      <c r="C27" s="176">
        <v>-243</v>
      </c>
    </row>
    <row r="28" spans="1:3" s="2" customFormat="1" ht="38.25" thickBot="1">
      <c r="A28" s="121" t="s">
        <v>99</v>
      </c>
      <c r="B28" s="176">
        <v>520</v>
      </c>
      <c r="C28" s="176">
        <v>299</v>
      </c>
    </row>
    <row r="29" spans="1:3" s="2" customFormat="1" ht="19.5" thickBot="1">
      <c r="A29" s="7" t="s">
        <v>100</v>
      </c>
      <c r="B29" s="262">
        <f>SUM(B26:B28)</f>
        <v>1465</v>
      </c>
      <c r="C29" s="262">
        <f>SUM(C26:C28)</f>
        <v>2070</v>
      </c>
    </row>
    <row r="30" spans="1:3" s="2" customFormat="1" ht="18.75">
      <c r="A30" s="119" t="s">
        <v>73</v>
      </c>
      <c r="B30" s="176">
        <v>-582</v>
      </c>
      <c r="C30" s="176">
        <v>-1277</v>
      </c>
    </row>
    <row r="31" spans="1:3" s="2" customFormat="1" ht="18.75">
      <c r="A31" s="119" t="s">
        <v>74</v>
      </c>
      <c r="B31" s="176">
        <v>22</v>
      </c>
      <c r="C31" s="267">
        <v>678</v>
      </c>
    </row>
    <row r="32" spans="1:3" s="2" customFormat="1" ht="18.75">
      <c r="A32" s="119" t="s">
        <v>75</v>
      </c>
      <c r="B32" s="176">
        <v>-560</v>
      </c>
      <c r="C32" s="176">
        <v>-599</v>
      </c>
    </row>
    <row r="33" spans="1:3" s="2" customFormat="1" ht="18.75">
      <c r="A33" s="119" t="s">
        <v>109</v>
      </c>
      <c r="B33" s="176">
        <v>-1073</v>
      </c>
      <c r="C33" s="176">
        <v>893</v>
      </c>
    </row>
    <row r="34" spans="1:3" s="2" customFormat="1" ht="19.5" thickBot="1">
      <c r="A34" s="119" t="s">
        <v>120</v>
      </c>
      <c r="B34" s="176">
        <v>1086</v>
      </c>
      <c r="C34" s="176">
        <v>-931</v>
      </c>
    </row>
    <row r="35" spans="1:3" s="2" customFormat="1" ht="19.5" thickBot="1">
      <c r="A35" s="7" t="s">
        <v>76</v>
      </c>
      <c r="B35" s="262">
        <f>SUM(B32:B34)</f>
        <v>-547</v>
      </c>
      <c r="C35" s="262">
        <f>SUM(C32:C34)</f>
        <v>-637</v>
      </c>
    </row>
    <row r="36" spans="1:3" s="2" customFormat="1" ht="59.25" customHeight="1">
      <c r="A36" s="6" t="s">
        <v>143</v>
      </c>
      <c r="B36" s="176">
        <v>-155</v>
      </c>
      <c r="C36" s="176">
        <v>-142</v>
      </c>
    </row>
    <row r="37" spans="1:3" s="2" customFormat="1" ht="39" customHeight="1">
      <c r="A37" s="6" t="s">
        <v>152</v>
      </c>
      <c r="B37" s="176">
        <v>4651</v>
      </c>
      <c r="C37" s="176">
        <v>4937</v>
      </c>
    </row>
    <row r="38" spans="1:3" s="2" customFormat="1" ht="42.75" customHeight="1">
      <c r="A38" s="6" t="s">
        <v>187</v>
      </c>
      <c r="B38" s="176">
        <v>1395</v>
      </c>
      <c r="C38" s="176">
        <v>674</v>
      </c>
    </row>
    <row r="39" spans="1:3" s="2" customFormat="1" ht="37.5">
      <c r="A39" s="6" t="s">
        <v>184</v>
      </c>
      <c r="B39" s="176">
        <v>442412</v>
      </c>
      <c r="C39" s="176">
        <v>0</v>
      </c>
    </row>
    <row r="40" spans="1:3" s="222" customFormat="1" ht="18.75">
      <c r="A40" s="221" t="s">
        <v>185</v>
      </c>
      <c r="B40" s="176">
        <v>4968</v>
      </c>
      <c r="C40" s="176">
        <v>0</v>
      </c>
    </row>
    <row r="41" spans="1:3" s="2" customFormat="1" ht="18.75" hidden="1">
      <c r="A41" s="6" t="s">
        <v>150</v>
      </c>
      <c r="B41" s="176">
        <v>0</v>
      </c>
      <c r="C41" s="176"/>
    </row>
    <row r="42" spans="1:3" s="2" customFormat="1" ht="18.75">
      <c r="A42" s="6" t="s">
        <v>33</v>
      </c>
      <c r="B42" s="176">
        <v>30</v>
      </c>
      <c r="C42" s="176">
        <v>55</v>
      </c>
    </row>
    <row r="43" spans="1:3" s="2" customFormat="1" ht="18.75">
      <c r="A43" s="6" t="s">
        <v>153</v>
      </c>
      <c r="B43" s="176">
        <v>0</v>
      </c>
      <c r="C43" s="176">
        <v>808</v>
      </c>
    </row>
    <row r="44" spans="1:3" s="2" customFormat="1" ht="18.75" hidden="1">
      <c r="A44" s="6" t="s">
        <v>171</v>
      </c>
      <c r="B44" s="176">
        <v>0</v>
      </c>
      <c r="C44" s="176"/>
    </row>
    <row r="45" spans="1:5" s="2" customFormat="1" ht="19.5" thickBot="1">
      <c r="A45" s="6" t="s">
        <v>101</v>
      </c>
      <c r="B45" s="176">
        <v>928</v>
      </c>
      <c r="C45" s="176">
        <v>635</v>
      </c>
      <c r="E45" s="160"/>
    </row>
    <row r="46" spans="1:3" s="2" customFormat="1" ht="19.5" thickBot="1">
      <c r="A46" s="7" t="s">
        <v>71</v>
      </c>
      <c r="B46" s="262">
        <f>SUM(B36:B45)</f>
        <v>454229</v>
      </c>
      <c r="C46" s="262">
        <f>SUM(C36:C45)</f>
        <v>6967</v>
      </c>
    </row>
    <row r="47" spans="1:5" s="2" customFormat="1" ht="18.75">
      <c r="A47" s="6" t="s">
        <v>34</v>
      </c>
      <c r="B47" s="176">
        <v>-539495</v>
      </c>
      <c r="C47" s="176">
        <v>-20740</v>
      </c>
      <c r="E47" s="231"/>
    </row>
    <row r="48" spans="1:3" s="2" customFormat="1" ht="18.75">
      <c r="A48" s="6" t="s">
        <v>102</v>
      </c>
      <c r="B48" s="176">
        <v>-10473</v>
      </c>
      <c r="C48" s="176">
        <v>-13352</v>
      </c>
    </row>
    <row r="49" spans="1:3" s="2" customFormat="1" ht="19.5" thickBot="1">
      <c r="A49" s="6" t="s">
        <v>103</v>
      </c>
      <c r="B49" s="176">
        <v>-10193</v>
      </c>
      <c r="C49" s="176">
        <v>-16373</v>
      </c>
    </row>
    <row r="50" spans="1:3" s="2" customFormat="1" ht="19.5" thickBot="1">
      <c r="A50" s="7" t="s">
        <v>35</v>
      </c>
      <c r="B50" s="262">
        <f>SUM(B47:B49)</f>
        <v>-560161</v>
      </c>
      <c r="C50" s="262">
        <f>SUM(C47:C49)</f>
        <v>-50465</v>
      </c>
    </row>
    <row r="51" spans="1:3" s="2" customFormat="1" ht="18.75">
      <c r="A51" s="60" t="s">
        <v>213</v>
      </c>
      <c r="B51" s="177">
        <f>B20+B23+B29+B35+B46+B50</f>
        <v>-86077</v>
      </c>
      <c r="C51" s="177">
        <f>C20+C23+C29+C35+C46+C50</f>
        <v>-2024</v>
      </c>
    </row>
    <row r="52" spans="1:3" s="2" customFormat="1" ht="19.5" thickBot="1">
      <c r="A52" s="6" t="s">
        <v>36</v>
      </c>
      <c r="B52" s="176">
        <v>-65375</v>
      </c>
      <c r="C52" s="176">
        <v>-2340</v>
      </c>
    </row>
    <row r="53" spans="1:3" s="2" customFormat="1" ht="19.5" thickBot="1">
      <c r="A53" s="7" t="s">
        <v>212</v>
      </c>
      <c r="B53" s="262">
        <f>B51+B52</f>
        <v>-151452</v>
      </c>
      <c r="C53" s="262">
        <f>C51+C52</f>
        <v>-4364</v>
      </c>
    </row>
    <row r="54" spans="1:3" s="2" customFormat="1" ht="21.75" customHeight="1" hidden="1">
      <c r="A54" s="95" t="s">
        <v>125</v>
      </c>
      <c r="B54" s="255"/>
      <c r="C54" s="255"/>
    </row>
    <row r="55" spans="1:3" s="2" customFormat="1" ht="19.5" hidden="1" thickBot="1">
      <c r="A55" s="6" t="s">
        <v>127</v>
      </c>
      <c r="B55" s="256"/>
      <c r="C55" s="256"/>
    </row>
    <row r="56" spans="1:3" s="2" customFormat="1" ht="19.5" hidden="1" thickBot="1">
      <c r="A56" s="119" t="s">
        <v>146</v>
      </c>
      <c r="B56" s="257"/>
      <c r="C56" s="257"/>
    </row>
    <row r="57" spans="1:3" s="2" customFormat="1" ht="19.5" thickBot="1">
      <c r="A57" s="95"/>
      <c r="B57" s="255"/>
      <c r="C57" s="255"/>
    </row>
    <row r="58" spans="1:3" s="94" customFormat="1" ht="19.5" thickBot="1">
      <c r="A58" s="92" t="s">
        <v>63</v>
      </c>
      <c r="B58" s="258"/>
      <c r="C58" s="258"/>
    </row>
    <row r="59" spans="1:3" ht="37.5">
      <c r="A59" s="59" t="s">
        <v>72</v>
      </c>
      <c r="B59" s="259"/>
      <c r="C59" s="259"/>
    </row>
    <row r="60" spans="1:3" ht="18.75">
      <c r="A60" s="6" t="s">
        <v>200</v>
      </c>
      <c r="B60" s="256"/>
      <c r="C60" s="256"/>
    </row>
    <row r="61" spans="1:3" ht="18.75">
      <c r="A61" s="6" t="s">
        <v>201</v>
      </c>
      <c r="B61" s="176">
        <v>1171</v>
      </c>
      <c r="C61" s="176">
        <v>-1816</v>
      </c>
    </row>
    <row r="62" spans="1:3" ht="37.5">
      <c r="A62" s="61" t="s">
        <v>222</v>
      </c>
      <c r="B62" s="176">
        <v>-549</v>
      </c>
      <c r="C62" s="194">
        <v>-430</v>
      </c>
    </row>
    <row r="63" spans="1:3" ht="56.25" hidden="1">
      <c r="A63" s="61" t="s">
        <v>186</v>
      </c>
      <c r="B63" s="263">
        <v>0</v>
      </c>
      <c r="C63" s="263">
        <v>0</v>
      </c>
    </row>
    <row r="64" spans="1:3" ht="63" customHeight="1" hidden="1">
      <c r="A64" s="61" t="s">
        <v>158</v>
      </c>
      <c r="B64" s="263">
        <v>0</v>
      </c>
      <c r="C64" s="263">
        <v>0</v>
      </c>
    </row>
    <row r="65" spans="1:3" ht="42.75" customHeight="1" hidden="1">
      <c r="A65" s="61" t="s">
        <v>159</v>
      </c>
      <c r="B65" s="263">
        <v>0</v>
      </c>
      <c r="C65" s="263">
        <v>0</v>
      </c>
    </row>
    <row r="66" spans="1:3" ht="42.75" customHeight="1" hidden="1">
      <c r="A66" s="61" t="s">
        <v>167</v>
      </c>
      <c r="B66" s="263">
        <v>0</v>
      </c>
      <c r="C66" s="263">
        <v>0</v>
      </c>
    </row>
    <row r="67" spans="1:3" ht="42.75" customHeight="1" hidden="1">
      <c r="A67" s="61" t="s">
        <v>165</v>
      </c>
      <c r="B67" s="263">
        <v>0</v>
      </c>
      <c r="C67" s="263">
        <v>0</v>
      </c>
    </row>
    <row r="68" spans="1:3" ht="37.5">
      <c r="A68" s="123" t="s">
        <v>124</v>
      </c>
      <c r="B68" s="176">
        <v>1459</v>
      </c>
      <c r="C68" s="176">
        <v>-1116</v>
      </c>
    </row>
    <row r="69" spans="1:3" ht="38.25" thickBot="1">
      <c r="A69" s="143" t="s">
        <v>68</v>
      </c>
      <c r="B69" s="273">
        <f>SUM(B61:B68)</f>
        <v>2081</v>
      </c>
      <c r="C69" s="273">
        <f>SUM(C61:C68)</f>
        <v>-3362</v>
      </c>
    </row>
    <row r="70" spans="1:3" s="93" customFormat="1" ht="19.5" thickBot="1">
      <c r="A70" s="92" t="s">
        <v>214</v>
      </c>
      <c r="B70" s="264">
        <f>B69</f>
        <v>2081</v>
      </c>
      <c r="C70" s="264">
        <f>C69</f>
        <v>-3362</v>
      </c>
    </row>
    <row r="71" spans="1:3" s="93" customFormat="1" ht="19.5" thickBot="1">
      <c r="A71" s="163" t="s">
        <v>128</v>
      </c>
      <c r="B71" s="264">
        <f>B53+B70</f>
        <v>-149371</v>
      </c>
      <c r="C71" s="264">
        <f>C53+C70</f>
        <v>-7726</v>
      </c>
    </row>
    <row r="72" spans="1:3" s="93" customFormat="1" ht="19.5" hidden="1" thickBot="1">
      <c r="A72" s="145"/>
      <c r="B72" s="162"/>
      <c r="C72" s="162"/>
    </row>
    <row r="73" spans="1:3" s="93" customFormat="1" ht="19.5" hidden="1" thickBot="1">
      <c r="A73" s="96" t="s">
        <v>126</v>
      </c>
      <c r="B73" s="144"/>
      <c r="C73" s="144"/>
    </row>
    <row r="74" spans="1:3" s="93" customFormat="1" ht="19.5" hidden="1" thickBot="1">
      <c r="A74" s="6" t="s">
        <v>127</v>
      </c>
      <c r="B74" s="265"/>
      <c r="C74" s="265"/>
    </row>
    <row r="75" spans="1:3" s="93" customFormat="1" ht="19.5" hidden="1" thickBot="1">
      <c r="A75" s="157" t="s">
        <v>147</v>
      </c>
      <c r="B75" s="266"/>
      <c r="C75" s="266"/>
    </row>
    <row r="76" spans="1:3" s="93" customFormat="1" ht="19.5" hidden="1" thickBot="1">
      <c r="A76" s="97" t="s">
        <v>145</v>
      </c>
      <c r="B76" s="260"/>
      <c r="C76" s="260"/>
    </row>
    <row r="77" spans="1:3" s="93" customFormat="1" ht="19.5" thickBot="1">
      <c r="A77" s="152" t="s">
        <v>133</v>
      </c>
      <c r="B77" s="276">
        <v>-1348</v>
      </c>
      <c r="C77" s="276">
        <v>-73</v>
      </c>
    </row>
    <row r="78" spans="1:3" ht="18.75">
      <c r="A78" s="44"/>
      <c r="B78" s="12"/>
      <c r="C78" s="12"/>
    </row>
    <row r="79" spans="1:3" ht="18.75">
      <c r="A79" s="44"/>
      <c r="B79" s="12"/>
      <c r="C79" s="12"/>
    </row>
    <row r="80" spans="1:3" ht="16.5">
      <c r="A80" s="58"/>
      <c r="B80" s="58"/>
      <c r="C80" s="58"/>
    </row>
    <row r="81" spans="1:3" ht="18.75">
      <c r="A81" s="62" t="s">
        <v>37</v>
      </c>
      <c r="B81" s="62"/>
      <c r="C81" s="62"/>
    </row>
    <row r="82" spans="1:3" ht="19.5">
      <c r="A82" s="11"/>
      <c r="B82" s="11"/>
      <c r="C82" s="11"/>
    </row>
    <row r="83" spans="1:3" ht="18.75">
      <c r="A83" s="51" t="str">
        <f>'ф.1'!A72</f>
        <v>Председатель Правления                                              </v>
      </c>
      <c r="B83" s="51" t="str">
        <f>'ф.1'!B72</f>
        <v>Пирматов Б.О.</v>
      </c>
      <c r="C83" s="51"/>
    </row>
    <row r="84" spans="1:3" ht="18.75">
      <c r="A84" s="32"/>
      <c r="B84" s="32"/>
      <c r="C84" s="32"/>
    </row>
    <row r="85" spans="1:3" ht="18.75">
      <c r="A85" s="33"/>
      <c r="B85" s="33"/>
      <c r="C85" s="33"/>
    </row>
    <row r="86" spans="1:3" ht="18.75" customHeight="1">
      <c r="A86" s="34" t="str">
        <f>'ф.1'!A75</f>
        <v>Главный бухгалтер                                                        </v>
      </c>
      <c r="B86" s="34" t="str">
        <f>'ф.1'!B75</f>
        <v>Багаутдинова Н.М.</v>
      </c>
      <c r="C86" s="34"/>
    </row>
    <row r="87" spans="1:3" ht="20.25">
      <c r="A87" s="9"/>
      <c r="B87" s="9"/>
      <c r="C87" s="9"/>
    </row>
    <row r="88" spans="1:3" ht="18.75">
      <c r="A88" s="12"/>
      <c r="B88" s="12"/>
      <c r="C88" s="12"/>
    </row>
    <row r="89" spans="1:3" ht="16.5">
      <c r="A89" s="165" t="s">
        <v>93</v>
      </c>
      <c r="B89" s="165"/>
      <c r="C89" s="165"/>
    </row>
    <row r="90" spans="1:3" ht="19.5">
      <c r="A90" s="166" t="s">
        <v>94</v>
      </c>
      <c r="B90" s="166"/>
      <c r="C90" s="166"/>
    </row>
    <row r="91" spans="1:3" ht="16.5">
      <c r="A91" s="167" t="s">
        <v>95</v>
      </c>
      <c r="B91" s="167"/>
      <c r="C91" s="167"/>
    </row>
    <row r="93" spans="1:3" ht="16.5">
      <c r="A93" s="10"/>
      <c r="B93" s="10"/>
      <c r="C93" s="10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N89"/>
  <sheetViews>
    <sheetView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9.140625" style="132" customWidth="1"/>
    <col min="2" max="2" width="73.421875" style="0" customWidth="1"/>
    <col min="3" max="3" width="22.28125" style="13" customWidth="1"/>
    <col min="4" max="4" width="21.00390625" style="13" customWidth="1"/>
    <col min="5" max="5" width="24.140625" style="72" hidden="1" customWidth="1"/>
    <col min="6" max="6" width="23.8515625" style="72" hidden="1" customWidth="1"/>
    <col min="9" max="9" width="13.7109375" style="0" customWidth="1"/>
    <col min="14" max="14" width="15.7109375" style="0" bestFit="1" customWidth="1"/>
  </cols>
  <sheetData>
    <row r="1" spans="2:6" ht="15.75">
      <c r="B1" s="43" t="str">
        <f>'[1]ф.1 конс.'!A1</f>
        <v>БИН                920140000084</v>
      </c>
      <c r="C1" s="169"/>
      <c r="D1" s="193" t="s">
        <v>130</v>
      </c>
      <c r="E1" s="65"/>
      <c r="F1" s="142" t="e">
        <f>'ф.1'!#REF!</f>
        <v>#REF!</v>
      </c>
    </row>
    <row r="2" spans="2:6" ht="15.75">
      <c r="B2" s="43" t="str">
        <f>'[1]ф.1 конс.'!A2</f>
        <v>Код ОКПО             19924793</v>
      </c>
      <c r="C2" s="169"/>
      <c r="D2" s="182"/>
      <c r="E2" s="65"/>
      <c r="F2" s="71"/>
    </row>
    <row r="3" spans="2:6" ht="15.75">
      <c r="B3" s="43" t="str">
        <f>'[1]ф.1 конс.'!A3</f>
        <v>БИК                   TSESKZKA</v>
      </c>
      <c r="C3" s="169"/>
      <c r="D3" s="169"/>
      <c r="E3" s="65"/>
      <c r="F3" s="71"/>
    </row>
    <row r="4" spans="2:6" ht="15.75">
      <c r="B4" s="293" t="str">
        <f>'[1]ф.1 конс.'!A4</f>
        <v>ИИК KZ48125KZT1001300336 в НБ РК</v>
      </c>
      <c r="C4" s="293"/>
      <c r="D4" s="293"/>
      <c r="E4" s="293"/>
      <c r="F4" s="71"/>
    </row>
    <row r="5" spans="2:6" ht="15.75">
      <c r="B5" s="293" t="str">
        <f>'ф.1'!A5</f>
        <v>Место нахождения головного банка: г.Нур-Султан, район Есиль, ул. Сығанақ, д. 24</v>
      </c>
      <c r="C5" s="293"/>
      <c r="D5" s="293"/>
      <c r="E5" s="293"/>
      <c r="F5" s="71"/>
    </row>
    <row r="6" spans="2:6" ht="15">
      <c r="B6" s="13"/>
      <c r="D6" s="219"/>
      <c r="E6" s="71"/>
      <c r="F6" s="71"/>
    </row>
    <row r="7" spans="2:14" ht="15">
      <c r="B7" s="288" t="s">
        <v>139</v>
      </c>
      <c r="C7" s="288"/>
      <c r="D7" s="288"/>
      <c r="E7" s="289"/>
      <c r="F7" s="289"/>
      <c r="N7" s="130"/>
    </row>
    <row r="8" spans="1:6" s="85" customFormat="1" ht="15">
      <c r="A8" s="132"/>
      <c r="B8" s="290" t="s">
        <v>58</v>
      </c>
      <c r="C8" s="290"/>
      <c r="D8" s="290"/>
      <c r="E8" s="289"/>
      <c r="F8" s="289"/>
    </row>
    <row r="9" spans="2:6" ht="15">
      <c r="B9" s="290" t="str">
        <f>'ф.1'!A9</f>
        <v>АО "First Heartland Jýsan Bank"</v>
      </c>
      <c r="C9" s="290"/>
      <c r="D9" s="290"/>
      <c r="E9" s="289"/>
      <c r="F9" s="289"/>
    </row>
    <row r="10" spans="2:6" ht="15.75">
      <c r="B10" s="291" t="str">
        <f>'ф.2'!A10</f>
        <v>за период, закончившийся 30.06.2019 года</v>
      </c>
      <c r="C10" s="291"/>
      <c r="D10" s="291"/>
      <c r="E10" s="292"/>
      <c r="F10" s="292"/>
    </row>
    <row r="11" spans="2:6" ht="15.75">
      <c r="B11" s="286" t="str">
        <f>'ф.1'!A11</f>
        <v>(с учетом заключительных оборотов)</v>
      </c>
      <c r="C11" s="286"/>
      <c r="D11" s="286"/>
      <c r="E11" s="287"/>
      <c r="F11" s="287"/>
    </row>
    <row r="12" spans="4:6" ht="15.75" thickBot="1">
      <c r="D12" s="73" t="str">
        <f>'ф.1'!C12</f>
        <v>млн. тенге</v>
      </c>
      <c r="F12" s="73" t="s">
        <v>132</v>
      </c>
    </row>
    <row r="13" spans="2:6" ht="15.75" thickBot="1">
      <c r="B13" s="17"/>
      <c r="C13" s="74" t="str">
        <f>'ф.2'!B13</f>
        <v>6 месяцев 2019г.*</v>
      </c>
      <c r="D13" s="74" t="str">
        <f>'ф.2'!C13</f>
        <v>6 месяцев 2018г.*</v>
      </c>
      <c r="E13" s="74" t="str">
        <f>C13</f>
        <v>6 месяцев 2019г.*</v>
      </c>
      <c r="F13" s="74" t="str">
        <f>D13</f>
        <v>6 месяцев 2018г.*</v>
      </c>
    </row>
    <row r="14" spans="2:6" ht="28.5">
      <c r="B14" s="146" t="s">
        <v>38</v>
      </c>
      <c r="C14" s="170"/>
      <c r="D14" s="171"/>
      <c r="E14" s="75"/>
      <c r="F14" s="131"/>
    </row>
    <row r="15" spans="2:11" ht="15">
      <c r="B15" s="147" t="s">
        <v>27</v>
      </c>
      <c r="C15" s="76">
        <v>92639</v>
      </c>
      <c r="D15" s="76">
        <v>65373</v>
      </c>
      <c r="E15" s="159">
        <v>72408432.57519</v>
      </c>
      <c r="F15" s="76">
        <v>67528885</v>
      </c>
      <c r="I15" s="129"/>
      <c r="K15" s="129"/>
    </row>
    <row r="16" spans="2:11" ht="15">
      <c r="B16" s="147" t="s">
        <v>28</v>
      </c>
      <c r="C16" s="76">
        <v>-34231</v>
      </c>
      <c r="D16" s="76">
        <v>-57517</v>
      </c>
      <c r="E16" s="159">
        <v>-62975762</v>
      </c>
      <c r="F16" s="76">
        <v>-48899417</v>
      </c>
      <c r="I16" s="129"/>
      <c r="K16" s="129"/>
    </row>
    <row r="17" spans="2:11" ht="15">
      <c r="B17" s="147" t="s">
        <v>30</v>
      </c>
      <c r="C17" s="76">
        <v>4981</v>
      </c>
      <c r="D17" s="76">
        <v>6200</v>
      </c>
      <c r="E17" s="159">
        <v>7751331</v>
      </c>
      <c r="F17" s="76">
        <v>7320463</v>
      </c>
      <c r="I17" s="129"/>
      <c r="K17" s="129"/>
    </row>
    <row r="18" spans="2:11" ht="15">
      <c r="B18" s="147" t="s">
        <v>31</v>
      </c>
      <c r="C18" s="76">
        <v>-1973</v>
      </c>
      <c r="D18" s="76">
        <v>-1942</v>
      </c>
      <c r="E18" s="159">
        <v>-1687573</v>
      </c>
      <c r="F18" s="76">
        <v>-1843746</v>
      </c>
      <c r="I18" s="129"/>
      <c r="K18" s="129"/>
    </row>
    <row r="19" spans="2:11" ht="15">
      <c r="B19" s="147" t="s">
        <v>78</v>
      </c>
      <c r="C19" s="76">
        <v>3320</v>
      </c>
      <c r="D19" s="76">
        <v>2688</v>
      </c>
      <c r="E19" s="159">
        <v>1708459</v>
      </c>
      <c r="F19" s="76">
        <v>2868430</v>
      </c>
      <c r="I19" s="129"/>
      <c r="K19" s="129"/>
    </row>
    <row r="20" spans="2:11" ht="15">
      <c r="B20" s="147" t="s">
        <v>79</v>
      </c>
      <c r="C20" s="76">
        <v>-1107</v>
      </c>
      <c r="D20" s="76">
        <v>-311</v>
      </c>
      <c r="E20" s="159">
        <v>-249624</v>
      </c>
      <c r="F20" s="76">
        <v>-311145</v>
      </c>
      <c r="I20" s="129"/>
      <c r="K20" s="129"/>
    </row>
    <row r="21" spans="2:11" ht="15">
      <c r="B21" s="147" t="s">
        <v>110</v>
      </c>
      <c r="C21" s="76">
        <v>-553</v>
      </c>
      <c r="D21" s="76">
        <v>-592</v>
      </c>
      <c r="E21" s="159">
        <v>-936047</v>
      </c>
      <c r="F21" s="76">
        <v>-2058000</v>
      </c>
      <c r="I21" s="129"/>
      <c r="K21" s="129"/>
    </row>
    <row r="22" spans="2:11" ht="45">
      <c r="B22" s="149" t="s">
        <v>134</v>
      </c>
      <c r="C22" s="76">
        <v>-7</v>
      </c>
      <c r="D22" s="76">
        <v>308</v>
      </c>
      <c r="E22" s="159">
        <v>703001</v>
      </c>
      <c r="F22" s="76">
        <v>29237948</v>
      </c>
      <c r="I22" s="129"/>
      <c r="K22" s="129"/>
    </row>
    <row r="23" spans="2:11" s="132" customFormat="1" ht="30">
      <c r="B23" s="149" t="s">
        <v>216</v>
      </c>
      <c r="C23" s="76">
        <v>-33</v>
      </c>
      <c r="D23" s="76">
        <v>0</v>
      </c>
      <c r="E23" s="159"/>
      <c r="F23" s="76"/>
      <c r="I23" s="129"/>
      <c r="K23" s="129"/>
    </row>
    <row r="24" spans="2:11" ht="15">
      <c r="B24" s="149" t="s">
        <v>217</v>
      </c>
      <c r="C24" s="76">
        <v>2765</v>
      </c>
      <c r="D24" s="76">
        <v>2534</v>
      </c>
      <c r="E24" s="159">
        <v>2039034.42481</v>
      </c>
      <c r="F24" s="76">
        <v>5912529</v>
      </c>
      <c r="I24" s="129"/>
      <c r="K24" s="129"/>
    </row>
    <row r="25" spans="2:11" s="132" customFormat="1" ht="15">
      <c r="B25" s="149" t="s">
        <v>185</v>
      </c>
      <c r="C25" s="76">
        <v>4968</v>
      </c>
      <c r="D25" s="76">
        <v>0</v>
      </c>
      <c r="E25" s="159"/>
      <c r="F25" s="76"/>
      <c r="I25" s="129"/>
      <c r="K25" s="129"/>
    </row>
    <row r="26" spans="2:11" ht="15">
      <c r="B26" s="147" t="s">
        <v>39</v>
      </c>
      <c r="C26" s="76">
        <v>14</v>
      </c>
      <c r="D26" s="76">
        <v>55</v>
      </c>
      <c r="E26" s="159">
        <v>3126</v>
      </c>
      <c r="F26" s="76">
        <v>0</v>
      </c>
      <c r="I26" s="129"/>
      <c r="K26" s="129"/>
    </row>
    <row r="27" spans="2:11" ht="15">
      <c r="B27" s="147" t="s">
        <v>40</v>
      </c>
      <c r="C27" s="76">
        <v>1636</v>
      </c>
      <c r="D27" s="76">
        <v>1711</v>
      </c>
      <c r="E27" s="159">
        <v>1511625</v>
      </c>
      <c r="F27" s="76">
        <v>1028443</v>
      </c>
      <c r="I27" s="129"/>
      <c r="K27" s="129"/>
    </row>
    <row r="28" spans="2:11" ht="15">
      <c r="B28" s="147" t="s">
        <v>41</v>
      </c>
      <c r="C28" s="76">
        <v>-18652</v>
      </c>
      <c r="D28" s="76">
        <v>-30040</v>
      </c>
      <c r="E28" s="159">
        <v>-22256512</v>
      </c>
      <c r="F28" s="76">
        <v>-22904129</v>
      </c>
      <c r="I28" s="129"/>
      <c r="K28" s="129"/>
    </row>
    <row r="29" spans="2:11" ht="15">
      <c r="B29" s="148"/>
      <c r="C29" s="76"/>
      <c r="D29" s="76"/>
      <c r="E29" s="77"/>
      <c r="F29" s="76"/>
      <c r="I29" s="129"/>
      <c r="K29" s="129"/>
    </row>
    <row r="30" spans="2:11" ht="15">
      <c r="B30" s="148" t="s">
        <v>42</v>
      </c>
      <c r="C30" s="76"/>
      <c r="D30" s="76"/>
      <c r="E30" s="78"/>
      <c r="F30" s="76"/>
      <c r="I30" s="129"/>
      <c r="K30" s="129"/>
    </row>
    <row r="31" spans="2:11" ht="15">
      <c r="B31" s="147" t="s">
        <v>4</v>
      </c>
      <c r="C31" s="76">
        <v>16092</v>
      </c>
      <c r="D31" s="76">
        <v>226</v>
      </c>
      <c r="E31" s="159">
        <v>4402718</v>
      </c>
      <c r="F31" s="76">
        <v>258633</v>
      </c>
      <c r="I31" s="129"/>
      <c r="K31" s="129"/>
    </row>
    <row r="32" spans="2:11" ht="15">
      <c r="B32" s="147" t="s">
        <v>70</v>
      </c>
      <c r="C32" s="76">
        <v>6868</v>
      </c>
      <c r="D32" s="76">
        <v>297</v>
      </c>
      <c r="E32" s="159">
        <v>532919</v>
      </c>
      <c r="F32" s="76">
        <v>-1979707</v>
      </c>
      <c r="I32" s="129"/>
      <c r="K32" s="129"/>
    </row>
    <row r="33" spans="2:11" ht="30">
      <c r="B33" s="147" t="s">
        <v>111</v>
      </c>
      <c r="C33" s="76">
        <v>1175</v>
      </c>
      <c r="D33" s="76">
        <v>-4341</v>
      </c>
      <c r="E33" s="159">
        <v>41466274</v>
      </c>
      <c r="F33" s="76">
        <v>-123836550</v>
      </c>
      <c r="I33" s="129"/>
      <c r="K33" s="129"/>
    </row>
    <row r="34" spans="2:11" ht="15">
      <c r="B34" s="147" t="s">
        <v>6</v>
      </c>
      <c r="C34" s="76">
        <v>607852</v>
      </c>
      <c r="D34" s="76">
        <v>-8358</v>
      </c>
      <c r="E34" s="159">
        <v>-50983077</v>
      </c>
      <c r="F34" s="76">
        <v>-22074456</v>
      </c>
      <c r="I34" s="129"/>
      <c r="K34" s="129"/>
    </row>
    <row r="35" spans="2:11" ht="15">
      <c r="B35" s="147" t="s">
        <v>10</v>
      </c>
      <c r="C35" s="76">
        <v>-1963</v>
      </c>
      <c r="D35" s="76">
        <v>-360</v>
      </c>
      <c r="E35" s="159">
        <v>-1718543</v>
      </c>
      <c r="F35" s="76">
        <v>-2124091</v>
      </c>
      <c r="I35" s="129"/>
      <c r="K35" s="129"/>
    </row>
    <row r="36" spans="2:11" ht="15">
      <c r="B36" s="148"/>
      <c r="C36" s="76"/>
      <c r="D36" s="76"/>
      <c r="E36" s="77"/>
      <c r="F36" s="76"/>
      <c r="I36" s="129"/>
      <c r="K36" s="129"/>
    </row>
    <row r="37" spans="2:11" ht="15">
      <c r="B37" s="148" t="s">
        <v>43</v>
      </c>
      <c r="C37" s="76"/>
      <c r="D37" s="76"/>
      <c r="E37" s="78"/>
      <c r="F37" s="76"/>
      <c r="I37" s="129"/>
      <c r="K37" s="129"/>
    </row>
    <row r="38" spans="2:11" ht="15">
      <c r="B38" s="147" t="s">
        <v>92</v>
      </c>
      <c r="C38" s="76">
        <v>-24678</v>
      </c>
      <c r="D38" s="76">
        <v>-4043</v>
      </c>
      <c r="E38" s="159">
        <v>-3489079</v>
      </c>
      <c r="F38" s="76">
        <v>5700405</v>
      </c>
      <c r="I38" s="129"/>
      <c r="K38" s="129"/>
    </row>
    <row r="39" spans="2:11" ht="15">
      <c r="B39" s="147" t="s">
        <v>12</v>
      </c>
      <c r="C39" s="76">
        <v>-278329</v>
      </c>
      <c r="D39" s="76">
        <v>3458</v>
      </c>
      <c r="E39" s="159">
        <v>-6027731</v>
      </c>
      <c r="F39" s="76">
        <v>-24161242</v>
      </c>
      <c r="I39" s="129"/>
      <c r="K39" s="129"/>
    </row>
    <row r="40" spans="2:11" ht="15">
      <c r="B40" s="147" t="s">
        <v>44</v>
      </c>
      <c r="C40" s="76">
        <f>-211483</f>
        <v>-211483</v>
      </c>
      <c r="D40" s="76">
        <v>-74824</v>
      </c>
      <c r="E40" s="159">
        <v>14064560</v>
      </c>
      <c r="F40" s="76">
        <v>118204693</v>
      </c>
      <c r="I40" s="129"/>
      <c r="K40" s="129"/>
    </row>
    <row r="41" spans="2:11" ht="15">
      <c r="B41" s="147" t="s">
        <v>45</v>
      </c>
      <c r="C41" s="76">
        <v>-74914</v>
      </c>
      <c r="D41" s="76">
        <v>32857</v>
      </c>
      <c r="E41" s="159">
        <v>81055143</v>
      </c>
      <c r="F41" s="76">
        <v>25000000</v>
      </c>
      <c r="I41" s="129"/>
      <c r="K41" s="129"/>
    </row>
    <row r="42" spans="2:11" ht="15">
      <c r="B42" s="147" t="s">
        <v>46</v>
      </c>
      <c r="C42" s="76">
        <v>-3287</v>
      </c>
      <c r="D42" s="76">
        <v>875</v>
      </c>
      <c r="E42" s="159">
        <v>-41510</v>
      </c>
      <c r="F42" s="76">
        <v>-70962</v>
      </c>
      <c r="I42" s="129"/>
      <c r="K42" s="129"/>
    </row>
    <row r="43" spans="2:11" ht="31.5">
      <c r="B43" s="154" t="s">
        <v>135</v>
      </c>
      <c r="C43" s="134">
        <f>SUM(C15:C42)</f>
        <v>91100</v>
      </c>
      <c r="D43" s="134">
        <f>SUM(D15:D42)</f>
        <v>-65746</v>
      </c>
      <c r="E43" s="79">
        <f>SUM(E15:E42)</f>
        <v>77281165</v>
      </c>
      <c r="F43" s="134">
        <f>SUM(F15:F42)</f>
        <v>12796984</v>
      </c>
      <c r="I43" s="129"/>
      <c r="K43" s="129"/>
    </row>
    <row r="44" spans="2:11" ht="15">
      <c r="B44" s="147" t="s">
        <v>47</v>
      </c>
      <c r="C44" s="76">
        <v>-244</v>
      </c>
      <c r="D44" s="76">
        <v>-661</v>
      </c>
      <c r="E44" s="159">
        <v>-2213328</v>
      </c>
      <c r="F44" s="135">
        <v>-1541463</v>
      </c>
      <c r="I44" s="129"/>
      <c r="K44" s="129"/>
    </row>
    <row r="45" spans="2:11" ht="28.5">
      <c r="B45" s="153" t="s">
        <v>136</v>
      </c>
      <c r="C45" s="134">
        <f>C43+C44</f>
        <v>90856</v>
      </c>
      <c r="D45" s="134">
        <f>D43+D44</f>
        <v>-66407</v>
      </c>
      <c r="E45" s="79">
        <f>E43+E44</f>
        <v>75067837</v>
      </c>
      <c r="F45" s="134">
        <f>F43+F44</f>
        <v>11255521</v>
      </c>
      <c r="I45" s="129"/>
      <c r="K45" s="129"/>
    </row>
    <row r="46" spans="2:11" ht="28.5">
      <c r="B46" s="148" t="s">
        <v>48</v>
      </c>
      <c r="C46" s="172"/>
      <c r="D46" s="277"/>
      <c r="E46" s="78"/>
      <c r="F46" s="136"/>
      <c r="I46" s="129"/>
      <c r="K46" s="129"/>
    </row>
    <row r="47" spans="2:11" ht="30">
      <c r="B47" s="149" t="s">
        <v>189</v>
      </c>
      <c r="C47" s="76">
        <v>-78323</v>
      </c>
      <c r="D47" s="76">
        <v>-6</v>
      </c>
      <c r="E47" s="159">
        <v>-785452559</v>
      </c>
      <c r="F47" s="135">
        <v>0</v>
      </c>
      <c r="I47" s="129"/>
      <c r="K47" s="129"/>
    </row>
    <row r="48" spans="2:11" ht="30">
      <c r="B48" s="149" t="s">
        <v>190</v>
      </c>
      <c r="C48" s="76">
        <v>18107</v>
      </c>
      <c r="D48" s="76">
        <v>28356</v>
      </c>
      <c r="E48" s="159">
        <v>720052626</v>
      </c>
      <c r="F48" s="135">
        <v>0</v>
      </c>
      <c r="I48" s="129"/>
      <c r="K48" s="129"/>
    </row>
    <row r="49" spans="2:11" ht="15">
      <c r="B49" s="149" t="s">
        <v>191</v>
      </c>
      <c r="C49" s="76">
        <v>-2168140</v>
      </c>
      <c r="D49" s="76">
        <v>-1189</v>
      </c>
      <c r="E49" s="76">
        <v>0</v>
      </c>
      <c r="F49" s="135">
        <v>0</v>
      </c>
      <c r="I49" s="129"/>
      <c r="K49" s="129"/>
    </row>
    <row r="50" spans="2:11" ht="15">
      <c r="B50" s="149" t="s">
        <v>192</v>
      </c>
      <c r="C50" s="76">
        <v>1761845</v>
      </c>
      <c r="D50" s="76">
        <v>312</v>
      </c>
      <c r="E50" s="159">
        <v>4005618</v>
      </c>
      <c r="F50" s="135">
        <v>3816400</v>
      </c>
      <c r="I50" s="129"/>
      <c r="K50" s="129"/>
    </row>
    <row r="51" spans="2:11" ht="15" hidden="1">
      <c r="B51" s="147" t="s">
        <v>112</v>
      </c>
      <c r="C51" s="76">
        <f>ROUND(E51/1000,0)</f>
        <v>0</v>
      </c>
      <c r="D51" s="76"/>
      <c r="E51" s="76">
        <v>0</v>
      </c>
      <c r="F51" s="135">
        <v>0</v>
      </c>
      <c r="I51" s="129"/>
      <c r="K51" s="129"/>
    </row>
    <row r="52" spans="1:11" s="111" customFormat="1" ht="15.75" customHeight="1">
      <c r="A52" s="132"/>
      <c r="B52" s="147" t="s">
        <v>129</v>
      </c>
      <c r="C52" s="76">
        <v>1</v>
      </c>
      <c r="D52" s="76">
        <v>32</v>
      </c>
      <c r="E52" s="159">
        <v>21599</v>
      </c>
      <c r="F52" s="135">
        <v>38632</v>
      </c>
      <c r="I52" s="129"/>
      <c r="K52" s="129"/>
    </row>
    <row r="53" spans="2:11" ht="15">
      <c r="B53" s="149" t="s">
        <v>49</v>
      </c>
      <c r="C53" s="76">
        <v>-473</v>
      </c>
      <c r="D53" s="76">
        <v>-1966</v>
      </c>
      <c r="E53" s="159">
        <v>-1778284</v>
      </c>
      <c r="F53" s="135">
        <v>-2234958</v>
      </c>
      <c r="I53" s="129"/>
      <c r="K53" s="129"/>
    </row>
    <row r="54" spans="2:11" ht="15">
      <c r="B54" s="150" t="s">
        <v>113</v>
      </c>
      <c r="C54" s="76">
        <v>34</v>
      </c>
      <c r="D54" s="76">
        <v>21</v>
      </c>
      <c r="E54" s="159">
        <v>16202</v>
      </c>
      <c r="F54" s="135">
        <v>9308</v>
      </c>
      <c r="I54" s="129"/>
      <c r="K54" s="129"/>
    </row>
    <row r="55" spans="2:11" s="132" customFormat="1" ht="15">
      <c r="B55" s="149" t="s">
        <v>162</v>
      </c>
      <c r="C55" s="76">
        <v>0</v>
      </c>
      <c r="D55" s="76">
        <v>24540</v>
      </c>
      <c r="E55" s="159"/>
      <c r="F55" s="135"/>
      <c r="I55" s="129"/>
      <c r="K55" s="129"/>
    </row>
    <row r="56" spans="2:11" ht="15" hidden="1">
      <c r="B56" s="149" t="s">
        <v>144</v>
      </c>
      <c r="C56" s="76"/>
      <c r="D56" s="76"/>
      <c r="E56" s="159">
        <v>-15717000</v>
      </c>
      <c r="F56" s="161"/>
      <c r="I56" s="129"/>
      <c r="K56" s="129"/>
    </row>
    <row r="57" spans="2:11" s="132" customFormat="1" ht="30" hidden="1">
      <c r="B57" s="149" t="s">
        <v>131</v>
      </c>
      <c r="C57" s="76">
        <f>ROUND(E57/1000,0)</f>
        <v>0</v>
      </c>
      <c r="D57" s="76">
        <f>ROUND(F57/1000,0)</f>
        <v>0</v>
      </c>
      <c r="E57" s="76">
        <v>0</v>
      </c>
      <c r="F57" s="135">
        <v>0</v>
      </c>
      <c r="I57" s="129"/>
      <c r="K57" s="129"/>
    </row>
    <row r="58" spans="2:11" ht="28.5">
      <c r="B58" s="153" t="s">
        <v>137</v>
      </c>
      <c r="C58" s="134">
        <f>SUM(C47:C57)</f>
        <v>-466949</v>
      </c>
      <c r="D58" s="134">
        <f>SUM(D47:D57)</f>
        <v>50100</v>
      </c>
      <c r="E58" s="79">
        <f>SUM(E47:E57)</f>
        <v>-78851798</v>
      </c>
      <c r="F58" s="134">
        <f>SUM(F47:F57)</f>
        <v>1629382</v>
      </c>
      <c r="I58" s="129"/>
      <c r="K58" s="129"/>
    </row>
    <row r="59" spans="2:11" ht="15">
      <c r="B59" s="151"/>
      <c r="C59" s="180"/>
      <c r="D59" s="278"/>
      <c r="E59" s="80"/>
      <c r="F59" s="137"/>
      <c r="I59" s="129"/>
      <c r="K59" s="129"/>
    </row>
    <row r="60" spans="2:11" ht="28.5">
      <c r="B60" s="148" t="s">
        <v>50</v>
      </c>
      <c r="C60" s="172"/>
      <c r="D60" s="277"/>
      <c r="E60" s="78"/>
      <c r="F60" s="136"/>
      <c r="I60" s="129"/>
      <c r="K60" s="129"/>
    </row>
    <row r="61" spans="2:11" ht="15" hidden="1">
      <c r="B61" s="147" t="s">
        <v>80</v>
      </c>
      <c r="C61" s="181">
        <v>0</v>
      </c>
      <c r="D61" s="279">
        <v>0</v>
      </c>
      <c r="E61" s="76">
        <v>0</v>
      </c>
      <c r="F61" s="135">
        <v>0</v>
      </c>
      <c r="I61" s="129"/>
      <c r="K61" s="129"/>
    </row>
    <row r="62" spans="2:11" s="132" customFormat="1" ht="15">
      <c r="B62" s="147" t="s">
        <v>52</v>
      </c>
      <c r="C62" s="76">
        <v>78800</v>
      </c>
      <c r="D62" s="76">
        <v>0</v>
      </c>
      <c r="E62" s="76"/>
      <c r="F62" s="135"/>
      <c r="I62" s="129"/>
      <c r="K62" s="129"/>
    </row>
    <row r="63" spans="2:11" s="132" customFormat="1" ht="15">
      <c r="B63" s="149" t="s">
        <v>193</v>
      </c>
      <c r="C63" s="76">
        <v>-75</v>
      </c>
      <c r="D63" s="76">
        <v>-5</v>
      </c>
      <c r="E63" s="76"/>
      <c r="F63" s="135"/>
      <c r="I63" s="129"/>
      <c r="K63" s="129"/>
    </row>
    <row r="64" spans="2:11" ht="15">
      <c r="B64" s="147" t="s">
        <v>116</v>
      </c>
      <c r="C64" s="76">
        <v>-4993</v>
      </c>
      <c r="D64" s="76">
        <v>-5452</v>
      </c>
      <c r="E64" s="76">
        <v>0</v>
      </c>
      <c r="F64" s="135">
        <v>-11404</v>
      </c>
      <c r="I64" s="129"/>
      <c r="K64" s="129"/>
    </row>
    <row r="65" spans="2:11" s="132" customFormat="1" ht="15">
      <c r="B65" s="149" t="s">
        <v>195</v>
      </c>
      <c r="C65" s="76">
        <v>8</v>
      </c>
      <c r="D65" s="76">
        <v>17</v>
      </c>
      <c r="E65" s="76"/>
      <c r="F65" s="135"/>
      <c r="I65" s="129"/>
      <c r="K65" s="129"/>
    </row>
    <row r="66" spans="2:11" s="132" customFormat="1" ht="15" hidden="1">
      <c r="B66" s="149" t="s">
        <v>168</v>
      </c>
      <c r="C66" s="76">
        <v>0</v>
      </c>
      <c r="D66" s="76"/>
      <c r="E66" s="76"/>
      <c r="F66" s="135"/>
      <c r="I66" s="129"/>
      <c r="K66" s="129"/>
    </row>
    <row r="67" spans="2:11" ht="15">
      <c r="B67" s="183" t="s">
        <v>51</v>
      </c>
      <c r="C67" s="76">
        <f>487934</f>
        <v>487934</v>
      </c>
      <c r="D67" s="76">
        <v>3998</v>
      </c>
      <c r="E67" s="76">
        <v>0</v>
      </c>
      <c r="F67" s="135">
        <v>0</v>
      </c>
      <c r="I67" s="129"/>
      <c r="K67" s="129"/>
    </row>
    <row r="68" spans="2:11" ht="15">
      <c r="B68" s="149" t="s">
        <v>218</v>
      </c>
      <c r="C68" s="76">
        <v>-6999</v>
      </c>
      <c r="D68" s="76">
        <v>-10000</v>
      </c>
      <c r="E68" s="159">
        <v>-10440000</v>
      </c>
      <c r="F68" s="135">
        <v>-10000000</v>
      </c>
      <c r="I68" s="129"/>
      <c r="K68" s="129"/>
    </row>
    <row r="69" spans="2:11" s="132" customFormat="1" ht="15" hidden="1">
      <c r="B69" s="149" t="s">
        <v>151</v>
      </c>
      <c r="C69" s="76"/>
      <c r="D69" s="76"/>
      <c r="E69" s="159">
        <v>28076</v>
      </c>
      <c r="F69" s="135">
        <v>22953</v>
      </c>
      <c r="I69" s="129"/>
      <c r="K69" s="129"/>
    </row>
    <row r="70" spans="2:11" s="132" customFormat="1" ht="15" hidden="1">
      <c r="B70" s="149" t="s">
        <v>141</v>
      </c>
      <c r="C70" s="76">
        <f>ROUND(E70/1000,0)</f>
        <v>0</v>
      </c>
      <c r="D70" s="76"/>
      <c r="E70" s="76"/>
      <c r="F70" s="135"/>
      <c r="I70" s="129"/>
      <c r="K70" s="129"/>
    </row>
    <row r="71" spans="2:11" s="132" customFormat="1" ht="15" hidden="1">
      <c r="B71" s="149" t="s">
        <v>177</v>
      </c>
      <c r="C71" s="76"/>
      <c r="D71" s="76"/>
      <c r="E71" s="159">
        <v>0</v>
      </c>
      <c r="F71" s="135">
        <v>-2557744</v>
      </c>
      <c r="I71" s="129"/>
      <c r="K71" s="129"/>
    </row>
    <row r="72" spans="2:11" ht="28.5">
      <c r="B72" s="153" t="s">
        <v>140</v>
      </c>
      <c r="C72" s="134">
        <f>SUM(C61:C71)</f>
        <v>554675</v>
      </c>
      <c r="D72" s="134">
        <f>SUM(D61:D71)</f>
        <v>-11442</v>
      </c>
      <c r="E72" s="79">
        <f>SUM(E61:E70)</f>
        <v>-10411924</v>
      </c>
      <c r="F72" s="134">
        <f>SUM(F61:F71)</f>
        <v>-12546195</v>
      </c>
      <c r="I72" s="129"/>
      <c r="K72" s="129"/>
    </row>
    <row r="73" spans="2:11" ht="15">
      <c r="B73" s="148"/>
      <c r="C73" s="172"/>
      <c r="D73" s="277"/>
      <c r="E73" s="78"/>
      <c r="F73" s="136"/>
      <c r="I73" s="129"/>
      <c r="K73" s="129"/>
    </row>
    <row r="74" spans="2:11" ht="28.5">
      <c r="B74" s="153" t="s">
        <v>138</v>
      </c>
      <c r="C74" s="134">
        <f>C72+C58+C45</f>
        <v>178582</v>
      </c>
      <c r="D74" s="134">
        <f>D72+D58+D45</f>
        <v>-27749</v>
      </c>
      <c r="E74" s="79">
        <f>E72+E58+E45</f>
        <v>-14195885</v>
      </c>
      <c r="F74" s="134">
        <f>F72+F58+F45</f>
        <v>338708</v>
      </c>
      <c r="I74" s="129"/>
      <c r="K74" s="129"/>
    </row>
    <row r="75" spans="2:11" ht="15">
      <c r="B75" s="147" t="s">
        <v>53</v>
      </c>
      <c r="C75" s="76">
        <v>3533</v>
      </c>
      <c r="D75" s="280">
        <v>983</v>
      </c>
      <c r="E75" s="159">
        <v>-1077127</v>
      </c>
      <c r="F75" s="135">
        <v>-6029487</v>
      </c>
      <c r="I75" s="129"/>
      <c r="K75" s="129"/>
    </row>
    <row r="76" spans="2:11" ht="15">
      <c r="B76" s="149" t="s">
        <v>176</v>
      </c>
      <c r="C76" s="76">
        <v>55395</v>
      </c>
      <c r="D76" s="280">
        <v>131338</v>
      </c>
      <c r="E76" s="159">
        <v>213792725</v>
      </c>
      <c r="F76" s="135">
        <v>185753592</v>
      </c>
      <c r="I76" s="129"/>
      <c r="K76" s="129"/>
    </row>
    <row r="77" spans="2:11" ht="15.75" thickBot="1">
      <c r="B77" s="155" t="s">
        <v>148</v>
      </c>
      <c r="C77" s="138">
        <f>C74+C75+C76</f>
        <v>237510</v>
      </c>
      <c r="D77" s="138">
        <f>D74+D75+D76</f>
        <v>104572</v>
      </c>
      <c r="E77" s="81">
        <f>E74+E75+E76</f>
        <v>198519713</v>
      </c>
      <c r="F77" s="138">
        <f>F74+F75+F76</f>
        <v>180062813</v>
      </c>
      <c r="I77" s="129"/>
      <c r="K77" s="129"/>
    </row>
    <row r="78" spans="3:6" s="139" customFormat="1" ht="15">
      <c r="C78" s="140">
        <f>C77-'ф.1'!B15</f>
        <v>0</v>
      </c>
      <c r="D78" s="232"/>
      <c r="E78" s="140" t="e">
        <f>'ф.1'!#REF!-'ф.3'!E77</f>
        <v>#REF!</v>
      </c>
      <c r="F78" s="141"/>
    </row>
    <row r="79" spans="2:6" s="114" customFormat="1" ht="15">
      <c r="B79" s="156" t="str">
        <f>'ф.2'!A81</f>
        <v>* неаудированный </v>
      </c>
      <c r="C79" s="112"/>
      <c r="D79" s="112"/>
      <c r="E79" s="113"/>
      <c r="F79" s="113"/>
    </row>
    <row r="80" spans="2:6" ht="15">
      <c r="B80" s="14"/>
      <c r="C80" s="14"/>
      <c r="D80" s="14"/>
      <c r="E80" s="82"/>
      <c r="F80" s="82"/>
    </row>
    <row r="81" spans="2:5" ht="15">
      <c r="B81" s="15" t="str">
        <f>'ф.1'!A72</f>
        <v>Председатель Правления                                              </v>
      </c>
      <c r="C81" s="15" t="str">
        <f>'ф.1'!B72</f>
        <v>Пирматов Б.О.</v>
      </c>
      <c r="D81" s="15"/>
      <c r="E81" s="15" t="e">
        <f>'ф.1'!#REF!</f>
        <v>#REF!</v>
      </c>
    </row>
    <row r="82" spans="2:5" ht="15">
      <c r="B82" s="15"/>
      <c r="C82" s="15"/>
      <c r="D82" s="15"/>
      <c r="E82" s="83"/>
    </row>
    <row r="83" spans="2:5" ht="15">
      <c r="B83" s="15" t="s">
        <v>55</v>
      </c>
      <c r="C83" s="15"/>
      <c r="D83" s="15"/>
      <c r="E83" s="83"/>
    </row>
    <row r="84" spans="2:5" ht="15">
      <c r="B84" s="15" t="str">
        <f>'ф.1'!A75</f>
        <v>Главный бухгалтер                                                        </v>
      </c>
      <c r="C84" s="15" t="str">
        <f>'ф.1'!B75</f>
        <v>Багаутдинова Н.М.</v>
      </c>
      <c r="D84" s="15"/>
      <c r="E84" s="15" t="e">
        <f>'ф.1'!#REF!</f>
        <v>#REF!</v>
      </c>
    </row>
    <row r="85" spans="2:5" ht="15">
      <c r="B85" s="16"/>
      <c r="C85" s="16"/>
      <c r="D85" s="16"/>
      <c r="E85" s="84"/>
    </row>
    <row r="86" spans="2:5" ht="10.5" customHeight="1">
      <c r="B86" s="13"/>
      <c r="E86" s="71"/>
    </row>
    <row r="87" spans="2:10" s="54" customFormat="1" ht="13.5" customHeight="1">
      <c r="B87" s="165" t="s">
        <v>93</v>
      </c>
      <c r="C87" s="165"/>
      <c r="D87" s="165"/>
      <c r="E87" s="13"/>
      <c r="F87" s="13"/>
      <c r="I87" s="55"/>
      <c r="J87" s="55"/>
    </row>
    <row r="88" spans="2:10" s="54" customFormat="1" ht="15" customHeight="1">
      <c r="B88" s="166" t="s">
        <v>94</v>
      </c>
      <c r="C88" s="166"/>
      <c r="D88" s="166"/>
      <c r="E88" s="13"/>
      <c r="F88" s="13"/>
      <c r="I88" s="55"/>
      <c r="J88" s="55"/>
    </row>
    <row r="89" spans="2:10" s="54" customFormat="1" ht="16.5">
      <c r="B89" s="167" t="s">
        <v>95</v>
      </c>
      <c r="C89" s="167"/>
      <c r="D89" s="167"/>
      <c r="E89" s="13"/>
      <c r="F89" s="13"/>
      <c r="I89" s="55"/>
      <c r="J89" s="55"/>
    </row>
  </sheetData>
  <sheetProtection/>
  <mergeCells count="7">
    <mergeCell ref="B11:F11"/>
    <mergeCell ref="B7:F7"/>
    <mergeCell ref="B9:F9"/>
    <mergeCell ref="B10:F10"/>
    <mergeCell ref="B4:E4"/>
    <mergeCell ref="B5:E5"/>
    <mergeCell ref="B8:F8"/>
  </mergeCells>
  <printOptions/>
  <pageMargins left="0" right="0" top="0" bottom="0" header="0" footer="0"/>
  <pageSetup fitToHeight="1" fitToWidth="1" horizontalDpi="600" verticalDpi="600" orientation="portrait" paperSize="9" scale="5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Q77"/>
  <sheetViews>
    <sheetView zoomScale="83" zoomScaleNormal="83" workbookViewId="0" topLeftCell="A1">
      <selection activeCell="A10" sqref="A10:O10"/>
    </sheetView>
  </sheetViews>
  <sheetFormatPr defaultColWidth="9.140625" defaultRowHeight="15"/>
  <cols>
    <col min="1" max="1" width="70.28125" style="35" customWidth="1"/>
    <col min="2" max="3" width="23.8515625" style="67" customWidth="1"/>
    <col min="4" max="4" width="23.8515625" style="67" hidden="1" customWidth="1"/>
    <col min="5" max="5" width="23.8515625" style="67" customWidth="1"/>
    <col min="6" max="8" width="29.00390625" style="67" hidden="1" customWidth="1"/>
    <col min="9" max="10" width="23.8515625" style="67" customWidth="1"/>
    <col min="11" max="11" width="19.7109375" style="67" customWidth="1"/>
    <col min="12" max="12" width="23.8515625" style="67" customWidth="1"/>
    <col min="13" max="13" width="23.8515625" style="67" hidden="1" customWidth="1"/>
    <col min="14" max="14" width="7.140625" style="67" hidden="1" customWidth="1"/>
    <col min="15" max="15" width="23.8515625" style="22" customWidth="1"/>
    <col min="16" max="16" width="13.7109375" style="100" bestFit="1" customWidth="1"/>
    <col min="17" max="17" width="13.7109375" style="22" bestFit="1" customWidth="1"/>
    <col min="18" max="16384" width="9.140625" style="18" customWidth="1"/>
  </cols>
  <sheetData>
    <row r="1" spans="1:15" ht="15.75">
      <c r="A1" s="43" t="str">
        <f>'[2]ф.1 конс.'!A1</f>
        <v>БИН                920140000084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23" t="e">
        <f>'ф.1'!#REF!</f>
        <v>#REF!</v>
      </c>
    </row>
    <row r="2" spans="1:14" ht="15.75">
      <c r="A2" s="43" t="str">
        <f>'[2]ф.1 конс.'!A2</f>
        <v>Код ОКПО             19924793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43" t="str">
        <f>'[2]ф.1 конс.'!A3</f>
        <v>БИК                   TSESKZKA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1" customHeight="1">
      <c r="A4" s="293" t="str">
        <f>'[2]ф.1 конс.'!A4</f>
        <v>ИИК KZ48125KZT1001300336 в НБ РК</v>
      </c>
      <c r="B4" s="29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8.75" customHeight="1">
      <c r="A5" s="293" t="str">
        <f>'ф.1'!A5</f>
        <v>Место нахождения головного банка: г.Нур-Султан, район Есиль, ул. Сығанақ, д. 24</v>
      </c>
      <c r="B5" s="29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>
      <c r="A6" s="19"/>
      <c r="B6" s="98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7" s="20" customFormat="1" ht="15.75">
      <c r="A7" s="296" t="s">
        <v>57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109"/>
      <c r="Q7" s="99"/>
    </row>
    <row r="8" spans="1:17" s="20" customFormat="1" ht="15.75">
      <c r="A8" s="296" t="s">
        <v>58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109"/>
      <c r="Q8" s="99"/>
    </row>
    <row r="9" spans="1:15" ht="15.75">
      <c r="A9" s="297" t="str">
        <f>'ф.1'!A9</f>
        <v>АО "First Heartland Jýsan Bank"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</row>
    <row r="10" spans="1:15" ht="15.75">
      <c r="A10" s="295" t="s">
        <v>198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</row>
    <row r="11" spans="1:15" ht="15.75">
      <c r="A11" s="294" t="str">
        <f>'ф.1'!A11</f>
        <v>(с учетом заключительных оборотов)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</row>
    <row r="12" spans="1:17" ht="19.5" thickBot="1">
      <c r="A12" s="21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248" t="s">
        <v>203</v>
      </c>
      <c r="Q12" s="100"/>
    </row>
    <row r="13" spans="1:15" ht="142.5" customHeight="1" thickBot="1">
      <c r="A13" s="36"/>
      <c r="B13" s="63" t="s">
        <v>59</v>
      </c>
      <c r="C13" s="66" t="s">
        <v>18</v>
      </c>
      <c r="D13" s="66" t="s">
        <v>60</v>
      </c>
      <c r="E13" s="63" t="s">
        <v>208</v>
      </c>
      <c r="F13" s="63" t="s">
        <v>172</v>
      </c>
      <c r="G13" s="63" t="s">
        <v>157</v>
      </c>
      <c r="H13" s="63" t="s">
        <v>19</v>
      </c>
      <c r="I13" s="63" t="s">
        <v>173</v>
      </c>
      <c r="J13" s="63" t="s">
        <v>61</v>
      </c>
      <c r="K13" s="63" t="s">
        <v>66</v>
      </c>
      <c r="L13" s="63" t="s">
        <v>24</v>
      </c>
      <c r="M13" s="101" t="s">
        <v>20</v>
      </c>
      <c r="N13" s="101" t="s">
        <v>21</v>
      </c>
      <c r="O13" s="102" t="s">
        <v>22</v>
      </c>
    </row>
    <row r="14" spans="1:16" s="103" customFormat="1" ht="15.75">
      <c r="A14" s="124">
        <v>1</v>
      </c>
      <c r="B14" s="125">
        <v>2</v>
      </c>
      <c r="C14" s="125">
        <v>3</v>
      </c>
      <c r="D14" s="125">
        <v>4</v>
      </c>
      <c r="E14" s="125" t="s">
        <v>114</v>
      </c>
      <c r="F14" s="125" t="s">
        <v>115</v>
      </c>
      <c r="G14" s="125" t="s">
        <v>82</v>
      </c>
      <c r="H14" s="125" t="s">
        <v>82</v>
      </c>
      <c r="I14" s="125" t="s">
        <v>115</v>
      </c>
      <c r="J14" s="125" t="s">
        <v>82</v>
      </c>
      <c r="K14" s="125" t="s">
        <v>83</v>
      </c>
      <c r="L14" s="125" t="s">
        <v>84</v>
      </c>
      <c r="M14" s="125" t="s">
        <v>85</v>
      </c>
      <c r="N14" s="126" t="s">
        <v>119</v>
      </c>
      <c r="O14" s="127" t="s">
        <v>85</v>
      </c>
      <c r="P14" s="110"/>
    </row>
    <row r="15" spans="1:16" s="22" customFormat="1" ht="15.75">
      <c r="A15" s="128" t="s">
        <v>225</v>
      </c>
      <c r="B15" s="195">
        <v>93017</v>
      </c>
      <c r="C15" s="195">
        <v>234</v>
      </c>
      <c r="D15" s="195">
        <v>0</v>
      </c>
      <c r="E15" s="195">
        <v>-376</v>
      </c>
      <c r="F15" s="195">
        <v>0</v>
      </c>
      <c r="G15" s="195">
        <v>0</v>
      </c>
      <c r="H15" s="195">
        <v>0</v>
      </c>
      <c r="I15" s="195">
        <v>2242</v>
      </c>
      <c r="J15" s="195">
        <v>12142</v>
      </c>
      <c r="K15" s="195">
        <v>16631</v>
      </c>
      <c r="L15" s="195">
        <v>98012</v>
      </c>
      <c r="M15" s="195">
        <f>L15+J15+I15+E15+D15+C15+B15+K15</f>
        <v>221902</v>
      </c>
      <c r="N15" s="195">
        <v>0</v>
      </c>
      <c r="O15" s="196">
        <f>M15+N15</f>
        <v>221902</v>
      </c>
      <c r="P15" s="100"/>
    </row>
    <row r="16" spans="1:16" s="22" customFormat="1" ht="15.75">
      <c r="A16" s="24" t="s">
        <v>154</v>
      </c>
      <c r="B16" s="197">
        <v>0</v>
      </c>
      <c r="C16" s="197">
        <v>0</v>
      </c>
      <c r="D16" s="197"/>
      <c r="E16" s="197">
        <v>1948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-32362</v>
      </c>
      <c r="M16" s="195"/>
      <c r="N16" s="195"/>
      <c r="O16" s="196">
        <f>E16+L16</f>
        <v>-30414</v>
      </c>
      <c r="P16" s="100"/>
    </row>
    <row r="17" spans="1:16" s="22" customFormat="1" ht="18.75" customHeight="1">
      <c r="A17" s="234" t="s">
        <v>211</v>
      </c>
      <c r="B17" s="195">
        <f>B15+B16</f>
        <v>93017</v>
      </c>
      <c r="C17" s="195">
        <f>C15+C16</f>
        <v>234</v>
      </c>
      <c r="D17" s="195"/>
      <c r="E17" s="195">
        <f>E15+E16</f>
        <v>1572</v>
      </c>
      <c r="F17" s="195">
        <f>F15+F16</f>
        <v>0</v>
      </c>
      <c r="G17" s="195"/>
      <c r="H17" s="195"/>
      <c r="I17" s="195">
        <f>I15+I16</f>
        <v>2242</v>
      </c>
      <c r="J17" s="195">
        <f>J15+J16</f>
        <v>12142</v>
      </c>
      <c r="K17" s="195">
        <f>K15+K16</f>
        <v>16631</v>
      </c>
      <c r="L17" s="195">
        <f>L15+L16</f>
        <v>65650</v>
      </c>
      <c r="M17" s="195"/>
      <c r="N17" s="195"/>
      <c r="O17" s="195">
        <f>O15+O16</f>
        <v>191488</v>
      </c>
      <c r="P17" s="100"/>
    </row>
    <row r="18" spans="1:16" s="22" customFormat="1" ht="15.75">
      <c r="A18" s="23" t="s">
        <v>62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7"/>
      <c r="N18" s="195"/>
      <c r="O18" s="196"/>
      <c r="P18" s="100"/>
    </row>
    <row r="19" spans="1:16" s="22" customFormat="1" ht="15.75">
      <c r="A19" s="24" t="s">
        <v>212</v>
      </c>
      <c r="B19" s="197">
        <v>0</v>
      </c>
      <c r="C19" s="197">
        <v>0</v>
      </c>
      <c r="D19" s="197">
        <v>0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f>'ф.2'!C53</f>
        <v>-4364</v>
      </c>
      <c r="M19" s="197">
        <f>L19</f>
        <v>-4364</v>
      </c>
      <c r="N19" s="197">
        <v>0</v>
      </c>
      <c r="O19" s="196">
        <f>N19+M19</f>
        <v>-4364</v>
      </c>
      <c r="P19" s="100"/>
    </row>
    <row r="20" spans="1:16" s="22" customFormat="1" ht="15.75">
      <c r="A20" s="23" t="s">
        <v>63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5"/>
      <c r="M20" s="197"/>
      <c r="N20" s="195"/>
      <c r="O20" s="196"/>
      <c r="P20" s="100"/>
    </row>
    <row r="21" spans="1:16" s="22" customFormat="1" ht="31.5">
      <c r="A21" s="25" t="s">
        <v>67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5"/>
      <c r="M21" s="197"/>
      <c r="N21" s="195"/>
      <c r="O21" s="196"/>
      <c r="P21" s="100"/>
    </row>
    <row r="22" spans="1:16" s="22" customFormat="1" ht="15.75">
      <c r="A22" s="24" t="s">
        <v>223</v>
      </c>
      <c r="B22" s="197">
        <v>0</v>
      </c>
      <c r="C22" s="197">
        <v>0</v>
      </c>
      <c r="D22" s="197">
        <v>0</v>
      </c>
      <c r="E22" s="197">
        <f>'ф.2'!C61</f>
        <v>-1816</v>
      </c>
      <c r="F22" s="197">
        <v>0</v>
      </c>
      <c r="G22" s="197">
        <v>0</v>
      </c>
      <c r="H22" s="197">
        <v>0</v>
      </c>
      <c r="I22" s="198">
        <v>0</v>
      </c>
      <c r="J22" s="198">
        <v>0</v>
      </c>
      <c r="K22" s="198">
        <v>0</v>
      </c>
      <c r="L22" s="195">
        <v>0</v>
      </c>
      <c r="M22" s="197">
        <f>SUM(B22:L22)</f>
        <v>-1816</v>
      </c>
      <c r="N22" s="197">
        <v>0</v>
      </c>
      <c r="O22" s="196">
        <f>M22+N22</f>
        <v>-1816</v>
      </c>
      <c r="P22" s="100"/>
    </row>
    <row r="23" spans="1:16" s="22" customFormat="1" ht="31.5">
      <c r="A23" s="24" t="s">
        <v>224</v>
      </c>
      <c r="B23" s="197">
        <v>0</v>
      </c>
      <c r="C23" s="197">
        <v>0</v>
      </c>
      <c r="D23" s="197">
        <v>0</v>
      </c>
      <c r="E23" s="198">
        <f>'ф.2'!C62</f>
        <v>-430</v>
      </c>
      <c r="F23" s="197">
        <v>0</v>
      </c>
      <c r="G23" s="197">
        <v>0</v>
      </c>
      <c r="H23" s="197">
        <v>0</v>
      </c>
      <c r="I23" s="198">
        <v>0</v>
      </c>
      <c r="J23" s="198">
        <v>0</v>
      </c>
      <c r="K23" s="198">
        <v>0</v>
      </c>
      <c r="L23" s="195">
        <v>0</v>
      </c>
      <c r="M23" s="197">
        <f>SUM(B23:L23)</f>
        <v>-430</v>
      </c>
      <c r="N23" s="195">
        <v>0</v>
      </c>
      <c r="O23" s="196">
        <f>M23+N23</f>
        <v>-430</v>
      </c>
      <c r="P23" s="100"/>
    </row>
    <row r="24" spans="1:16" s="22" customFormat="1" ht="31.5" hidden="1">
      <c r="A24" s="24" t="s">
        <v>174</v>
      </c>
      <c r="B24" s="197">
        <v>0</v>
      </c>
      <c r="C24" s="197">
        <v>0</v>
      </c>
      <c r="D24" s="197"/>
      <c r="E24" s="198">
        <v>0</v>
      </c>
      <c r="F24" s="197"/>
      <c r="G24" s="197"/>
      <c r="H24" s="197"/>
      <c r="I24" s="198">
        <v>0</v>
      </c>
      <c r="J24" s="198">
        <v>0</v>
      </c>
      <c r="K24" s="198">
        <v>0</v>
      </c>
      <c r="L24" s="195">
        <v>0</v>
      </c>
      <c r="M24" s="197">
        <f>F24</f>
        <v>0</v>
      </c>
      <c r="N24" s="195"/>
      <c r="O24" s="196">
        <f>F24</f>
        <v>0</v>
      </c>
      <c r="P24" s="100"/>
    </row>
    <row r="25" spans="1:16" s="22" customFormat="1" ht="31.5">
      <c r="A25" s="24" t="s">
        <v>124</v>
      </c>
      <c r="B25" s="197">
        <v>0</v>
      </c>
      <c r="C25" s="197">
        <v>0</v>
      </c>
      <c r="D25" s="197">
        <v>0</v>
      </c>
      <c r="E25" s="198">
        <v>-84</v>
      </c>
      <c r="F25" s="197">
        <v>0</v>
      </c>
      <c r="G25" s="197">
        <v>0</v>
      </c>
      <c r="H25" s="197">
        <v>0</v>
      </c>
      <c r="I25" s="198">
        <v>-1032</v>
      </c>
      <c r="J25" s="198">
        <v>0</v>
      </c>
      <c r="K25" s="198">
        <v>0</v>
      </c>
      <c r="L25" s="195">
        <v>0</v>
      </c>
      <c r="M25" s="197">
        <f>SUM(B25:L25)</f>
        <v>-1116</v>
      </c>
      <c r="N25" s="197">
        <v>0</v>
      </c>
      <c r="O25" s="196">
        <f>M25+N25</f>
        <v>-1116</v>
      </c>
      <c r="P25" s="100"/>
    </row>
    <row r="26" spans="1:16" s="22" customFormat="1" ht="33.75" customHeight="1" thickBot="1">
      <c r="A26" s="26" t="s">
        <v>68</v>
      </c>
      <c r="B26" s="197">
        <v>0</v>
      </c>
      <c r="C26" s="197">
        <v>0</v>
      </c>
      <c r="D26" s="197">
        <v>0</v>
      </c>
      <c r="E26" s="235">
        <f aca="true" t="shared" si="0" ref="E26:N26">SUM(E22:E25)</f>
        <v>-2330</v>
      </c>
      <c r="F26" s="235">
        <f t="shared" si="0"/>
        <v>0</v>
      </c>
      <c r="G26" s="235">
        <f t="shared" si="0"/>
        <v>0</v>
      </c>
      <c r="H26" s="235">
        <f t="shared" si="0"/>
        <v>0</v>
      </c>
      <c r="I26" s="235">
        <f t="shared" si="0"/>
        <v>-1032</v>
      </c>
      <c r="J26" s="235">
        <f t="shared" si="0"/>
        <v>0</v>
      </c>
      <c r="K26" s="235">
        <f t="shared" si="0"/>
        <v>0</v>
      </c>
      <c r="L26" s="235">
        <f t="shared" si="0"/>
        <v>0</v>
      </c>
      <c r="M26" s="235">
        <f t="shared" si="0"/>
        <v>-3362</v>
      </c>
      <c r="N26" s="235">
        <f t="shared" si="0"/>
        <v>0</v>
      </c>
      <c r="O26" s="196">
        <f>M26+N26</f>
        <v>-3362</v>
      </c>
      <c r="P26" s="100"/>
    </row>
    <row r="27" spans="1:16" s="22" customFormat="1" ht="21.75" customHeight="1" thickBot="1">
      <c r="A27" s="27" t="s">
        <v>69</v>
      </c>
      <c r="B27" s="199">
        <v>0</v>
      </c>
      <c r="C27" s="199">
        <v>0</v>
      </c>
      <c r="D27" s="199">
        <v>0</v>
      </c>
      <c r="E27" s="199">
        <f aca="true" t="shared" si="1" ref="E27:O27">E26</f>
        <v>-2330</v>
      </c>
      <c r="F27" s="199">
        <f aca="true" t="shared" si="2" ref="F27:H28">F26</f>
        <v>0</v>
      </c>
      <c r="G27" s="199">
        <f t="shared" si="2"/>
        <v>0</v>
      </c>
      <c r="H27" s="199">
        <f t="shared" si="2"/>
        <v>0</v>
      </c>
      <c r="I27" s="199">
        <f t="shared" si="1"/>
        <v>-1032</v>
      </c>
      <c r="J27" s="199">
        <f t="shared" si="1"/>
        <v>0</v>
      </c>
      <c r="K27" s="199">
        <f t="shared" si="1"/>
        <v>0</v>
      </c>
      <c r="L27" s="199">
        <f t="shared" si="1"/>
        <v>0</v>
      </c>
      <c r="M27" s="199">
        <f t="shared" si="1"/>
        <v>-3362</v>
      </c>
      <c r="N27" s="199">
        <f t="shared" si="1"/>
        <v>0</v>
      </c>
      <c r="O27" s="200">
        <f t="shared" si="1"/>
        <v>-3362</v>
      </c>
      <c r="P27" s="100"/>
    </row>
    <row r="28" spans="1:16" s="22" customFormat="1" ht="16.5" customHeight="1" thickBot="1">
      <c r="A28" s="236" t="s">
        <v>145</v>
      </c>
      <c r="B28" s="201">
        <v>0</v>
      </c>
      <c r="C28" s="201">
        <v>0</v>
      </c>
      <c r="D28" s="201">
        <v>0</v>
      </c>
      <c r="E28" s="201">
        <f>E27</f>
        <v>-2330</v>
      </c>
      <c r="F28" s="201">
        <f t="shared" si="2"/>
        <v>0</v>
      </c>
      <c r="G28" s="201">
        <f t="shared" si="2"/>
        <v>0</v>
      </c>
      <c r="H28" s="201">
        <f t="shared" si="2"/>
        <v>0</v>
      </c>
      <c r="I28" s="201">
        <f>I27</f>
        <v>-1032</v>
      </c>
      <c r="J28" s="201">
        <f>J27</f>
        <v>0</v>
      </c>
      <c r="K28" s="201">
        <f>K27</f>
        <v>0</v>
      </c>
      <c r="L28" s="201">
        <f>L27+L19</f>
        <v>-4364</v>
      </c>
      <c r="M28" s="201">
        <f>M27+M19</f>
        <v>-7726</v>
      </c>
      <c r="N28" s="201">
        <f>N27+N19</f>
        <v>0</v>
      </c>
      <c r="O28" s="200">
        <f>O27+O19</f>
        <v>-7726</v>
      </c>
      <c r="P28" s="100"/>
    </row>
    <row r="29" spans="1:16" s="22" customFormat="1" ht="31.5">
      <c r="A29" s="237" t="s">
        <v>64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9"/>
      <c r="P29" s="100"/>
    </row>
    <row r="30" spans="1:16" s="22" customFormat="1" ht="15.75" hidden="1">
      <c r="A30" s="240" t="s">
        <v>54</v>
      </c>
      <c r="B30" s="197">
        <v>0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f>L30+K30+J30+I30+E30+D30+C30+B30</f>
        <v>0</v>
      </c>
      <c r="N30" s="195">
        <v>0</v>
      </c>
      <c r="O30" s="196">
        <f aca="true" t="shared" si="3" ref="O30:O36">M30+N30</f>
        <v>0</v>
      </c>
      <c r="P30" s="100"/>
    </row>
    <row r="31" spans="1:16" s="22" customFormat="1" ht="16.5" customHeight="1">
      <c r="A31" s="24" t="s">
        <v>169</v>
      </c>
      <c r="B31" s="197">
        <v>12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f>B31+L31+J31+I31+E31+D31+C31</f>
        <v>12</v>
      </c>
      <c r="N31" s="195">
        <v>0</v>
      </c>
      <c r="O31" s="196">
        <f t="shared" si="3"/>
        <v>12</v>
      </c>
      <c r="P31" s="100"/>
    </row>
    <row r="32" spans="1:16" s="22" customFormat="1" ht="16.5" customHeight="1" hidden="1">
      <c r="A32" s="24" t="s">
        <v>142</v>
      </c>
      <c r="B32" s="202">
        <v>0</v>
      </c>
      <c r="C32" s="202">
        <v>0</v>
      </c>
      <c r="D32" s="202"/>
      <c r="E32" s="202">
        <v>0</v>
      </c>
      <c r="F32" s="197">
        <v>0</v>
      </c>
      <c r="G32" s="197">
        <v>0</v>
      </c>
      <c r="H32" s="197">
        <v>0</v>
      </c>
      <c r="I32" s="202">
        <v>0</v>
      </c>
      <c r="J32" s="202">
        <v>0</v>
      </c>
      <c r="K32" s="202">
        <v>0</v>
      </c>
      <c r="L32" s="202">
        <v>0</v>
      </c>
      <c r="M32" s="197">
        <f>B32+L32+J32+I32+E32+D32+C32</f>
        <v>0</v>
      </c>
      <c r="N32" s="202">
        <v>0</v>
      </c>
      <c r="O32" s="196">
        <f t="shared" si="3"/>
        <v>0</v>
      </c>
      <c r="P32" s="100"/>
    </row>
    <row r="33" spans="1:16" s="22" customFormat="1" ht="16.5" customHeight="1">
      <c r="A33" s="24" t="s">
        <v>215</v>
      </c>
      <c r="B33" s="202">
        <v>0</v>
      </c>
      <c r="C33" s="202">
        <v>0</v>
      </c>
      <c r="D33" s="202"/>
      <c r="E33" s="202">
        <v>0</v>
      </c>
      <c r="F33" s="197"/>
      <c r="G33" s="197"/>
      <c r="H33" s="197"/>
      <c r="I33" s="202">
        <v>0</v>
      </c>
      <c r="J33" s="202">
        <v>0</v>
      </c>
      <c r="K33" s="202">
        <v>0</v>
      </c>
      <c r="L33" s="202">
        <v>-120</v>
      </c>
      <c r="M33" s="202"/>
      <c r="N33" s="202"/>
      <c r="O33" s="196">
        <f>M33+N33+L33</f>
        <v>-120</v>
      </c>
      <c r="P33" s="100"/>
    </row>
    <row r="34" spans="1:16" s="22" customFormat="1" ht="15.75">
      <c r="A34" s="38" t="s">
        <v>81</v>
      </c>
      <c r="B34" s="203">
        <f>SUM(B30:B33)</f>
        <v>12</v>
      </c>
      <c r="C34" s="203">
        <f>SUM(C30:C33)</f>
        <v>0</v>
      </c>
      <c r="D34" s="203">
        <f aca="true" t="shared" si="4" ref="D34:K34">D30+D31</f>
        <v>0</v>
      </c>
      <c r="E34" s="203">
        <f t="shared" si="4"/>
        <v>0</v>
      </c>
      <c r="F34" s="197">
        <v>0</v>
      </c>
      <c r="G34" s="197">
        <v>0</v>
      </c>
      <c r="H34" s="197">
        <v>0</v>
      </c>
      <c r="I34" s="203">
        <f t="shared" si="4"/>
        <v>0</v>
      </c>
      <c r="J34" s="203">
        <f t="shared" si="4"/>
        <v>0</v>
      </c>
      <c r="K34" s="203">
        <f t="shared" si="4"/>
        <v>0</v>
      </c>
      <c r="L34" s="203">
        <f>L30+L31+L33</f>
        <v>-120</v>
      </c>
      <c r="M34" s="203">
        <f>SUM(M30:M32)</f>
        <v>12</v>
      </c>
      <c r="N34" s="203">
        <f>N30+N31+N32</f>
        <v>0</v>
      </c>
      <c r="O34" s="204">
        <f>M34+N34+O33</f>
        <v>-108</v>
      </c>
      <c r="P34" s="100"/>
    </row>
    <row r="35" spans="1:16" s="22" customFormat="1" ht="15.75">
      <c r="A35" s="24" t="s">
        <v>194</v>
      </c>
      <c r="B35" s="195">
        <v>0</v>
      </c>
      <c r="C35" s="195">
        <v>0</v>
      </c>
      <c r="D35" s="197">
        <f>-3704*0</f>
        <v>0</v>
      </c>
      <c r="E35" s="195">
        <v>0</v>
      </c>
      <c r="F35" s="197">
        <v>0</v>
      </c>
      <c r="G35" s="197">
        <v>0</v>
      </c>
      <c r="H35" s="197">
        <v>0</v>
      </c>
      <c r="I35" s="195">
        <v>0</v>
      </c>
      <c r="J35" s="195">
        <v>0</v>
      </c>
      <c r="K35" s="197">
        <v>-16631</v>
      </c>
      <c r="L35" s="197">
        <f>-K35</f>
        <v>16631</v>
      </c>
      <c r="M35" s="195">
        <f>L35+J35+E35+I35+D35+C35+B35+K35</f>
        <v>0</v>
      </c>
      <c r="N35" s="195">
        <v>0</v>
      </c>
      <c r="O35" s="196">
        <f>L35+K35</f>
        <v>0</v>
      </c>
      <c r="P35" s="100"/>
    </row>
    <row r="36" spans="1:16" s="22" customFormat="1" ht="15.75">
      <c r="A36" s="241" t="s">
        <v>160</v>
      </c>
      <c r="B36" s="195">
        <v>0</v>
      </c>
      <c r="C36" s="195">
        <v>0</v>
      </c>
      <c r="D36" s="195">
        <v>0</v>
      </c>
      <c r="E36" s="195">
        <v>0</v>
      </c>
      <c r="F36" s="197">
        <v>0</v>
      </c>
      <c r="G36" s="197">
        <v>0</v>
      </c>
      <c r="H36" s="197">
        <v>0</v>
      </c>
      <c r="I36" s="195">
        <v>0</v>
      </c>
      <c r="J36" s="197">
        <v>-12000</v>
      </c>
      <c r="K36" s="197">
        <v>0</v>
      </c>
      <c r="L36" s="197">
        <f>-J36</f>
        <v>12000</v>
      </c>
      <c r="M36" s="195">
        <f>J36+L36</f>
        <v>0</v>
      </c>
      <c r="N36" s="195">
        <v>0</v>
      </c>
      <c r="O36" s="195">
        <f t="shared" si="3"/>
        <v>0</v>
      </c>
      <c r="P36" s="100"/>
    </row>
    <row r="37" spans="1:16" s="22" customFormat="1" ht="15.75" customHeight="1" thickBot="1">
      <c r="A37" s="242" t="s">
        <v>210</v>
      </c>
      <c r="B37" s="243">
        <f>B15+B28+B34</f>
        <v>93029</v>
      </c>
      <c r="C37" s="243">
        <f>C15+C28+C34</f>
        <v>234</v>
      </c>
      <c r="D37" s="243">
        <f>D15+D28+D34+D35</f>
        <v>0</v>
      </c>
      <c r="E37" s="243">
        <f>E15+E28+E34+E16</f>
        <v>-758</v>
      </c>
      <c r="F37" s="243">
        <f>F15+F28+F34+F16</f>
        <v>0</v>
      </c>
      <c r="G37" s="243">
        <f>G15+G28+G34</f>
        <v>0</v>
      </c>
      <c r="H37" s="243">
        <f>H15+H28+H34</f>
        <v>0</v>
      </c>
      <c r="I37" s="243">
        <f>I15+I28+I34</f>
        <v>1210</v>
      </c>
      <c r="J37" s="243">
        <f>J15+J28+J34+J36+J16</f>
        <v>142</v>
      </c>
      <c r="K37" s="243">
        <f>K15+K28+K34+K35</f>
        <v>0</v>
      </c>
      <c r="L37" s="243">
        <f>L15+L28+L34+L35+L36+L32+L16</f>
        <v>89797</v>
      </c>
      <c r="M37" s="243">
        <f>M15+M28+M34+M35</f>
        <v>214188</v>
      </c>
      <c r="N37" s="243">
        <f>N15+N28+N34</f>
        <v>0</v>
      </c>
      <c r="O37" s="244">
        <f>O15+O28+O34+O35+O16</f>
        <v>183654</v>
      </c>
      <c r="P37" s="100"/>
    </row>
    <row r="38" spans="1:16" s="22" customFormat="1" ht="15.75" customHeight="1" thickBot="1">
      <c r="A38" s="6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6"/>
      <c r="P38" s="100"/>
    </row>
    <row r="39" spans="1:16" s="22" customFormat="1" ht="15.75">
      <c r="A39" s="39" t="s">
        <v>181</v>
      </c>
      <c r="B39" s="238">
        <f>'ф.1'!C52</f>
        <v>128232</v>
      </c>
      <c r="C39" s="238">
        <v>234</v>
      </c>
      <c r="D39" s="238">
        <f>8487*0</f>
        <v>0</v>
      </c>
      <c r="E39" s="238">
        <v>1489</v>
      </c>
      <c r="F39" s="238">
        <v>0</v>
      </c>
      <c r="G39" s="238">
        <v>0</v>
      </c>
      <c r="H39" s="238">
        <v>0</v>
      </c>
      <c r="I39" s="238">
        <v>1627</v>
      </c>
      <c r="J39" s="238">
        <v>142</v>
      </c>
      <c r="K39" s="238">
        <v>0</v>
      </c>
      <c r="L39" s="238">
        <v>87694</v>
      </c>
      <c r="M39" s="238">
        <f>SUM(B39:L39)</f>
        <v>219418</v>
      </c>
      <c r="N39" s="238">
        <v>0</v>
      </c>
      <c r="O39" s="239">
        <f>N39+M39</f>
        <v>219418</v>
      </c>
      <c r="P39" s="100"/>
    </row>
    <row r="40" spans="1:16" s="22" customFormat="1" ht="15.75" hidden="1">
      <c r="A40" s="173" t="s">
        <v>154</v>
      </c>
      <c r="B40" s="203">
        <v>0</v>
      </c>
      <c r="C40" s="203">
        <v>0</v>
      </c>
      <c r="D40" s="203"/>
      <c r="E40" s="202">
        <v>0</v>
      </c>
      <c r="F40" s="202">
        <v>0</v>
      </c>
      <c r="G40" s="202">
        <v>0</v>
      </c>
      <c r="H40" s="202">
        <f>2*0</f>
        <v>0</v>
      </c>
      <c r="I40" s="203">
        <v>0</v>
      </c>
      <c r="J40" s="202">
        <v>0</v>
      </c>
      <c r="K40" s="203">
        <v>0</v>
      </c>
      <c r="L40" s="202">
        <v>0</v>
      </c>
      <c r="M40" s="197">
        <f>SUM(B40:L40)</f>
        <v>0</v>
      </c>
      <c r="N40" s="203">
        <v>0</v>
      </c>
      <c r="O40" s="196">
        <f>M40+N40</f>
        <v>0</v>
      </c>
      <c r="P40" s="100"/>
    </row>
    <row r="41" spans="1:16" s="175" customFormat="1" ht="21" customHeight="1" hidden="1">
      <c r="A41" s="28" t="s">
        <v>166</v>
      </c>
      <c r="B41" s="203">
        <f>B39+B40</f>
        <v>128232</v>
      </c>
      <c r="C41" s="203">
        <f>C39+C40</f>
        <v>234</v>
      </c>
      <c r="D41" s="203"/>
      <c r="E41" s="203">
        <f aca="true" t="shared" si="5" ref="E41:O41">E39+E40</f>
        <v>1489</v>
      </c>
      <c r="F41" s="203">
        <f t="shared" si="5"/>
        <v>0</v>
      </c>
      <c r="G41" s="203">
        <f t="shared" si="5"/>
        <v>0</v>
      </c>
      <c r="H41" s="203">
        <f t="shared" si="5"/>
        <v>0</v>
      </c>
      <c r="I41" s="203">
        <f t="shared" si="5"/>
        <v>1627</v>
      </c>
      <c r="J41" s="203">
        <f t="shared" si="5"/>
        <v>142</v>
      </c>
      <c r="K41" s="203">
        <f t="shared" si="5"/>
        <v>0</v>
      </c>
      <c r="L41" s="203">
        <f t="shared" si="5"/>
        <v>87694</v>
      </c>
      <c r="M41" s="203">
        <f t="shared" si="5"/>
        <v>219418</v>
      </c>
      <c r="N41" s="203">
        <f t="shared" si="5"/>
        <v>0</v>
      </c>
      <c r="O41" s="204">
        <f t="shared" si="5"/>
        <v>219418</v>
      </c>
      <c r="P41" s="174"/>
    </row>
    <row r="42" spans="1:16" s="22" customFormat="1" ht="15.75">
      <c r="A42" s="23" t="s">
        <v>62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6"/>
      <c r="P42" s="100"/>
    </row>
    <row r="43" spans="1:16" s="22" customFormat="1" ht="15.75">
      <c r="A43" s="24" t="s">
        <v>212</v>
      </c>
      <c r="B43" s="197">
        <v>0</v>
      </c>
      <c r="C43" s="197">
        <v>0</v>
      </c>
      <c r="D43" s="197">
        <v>0</v>
      </c>
      <c r="E43" s="197">
        <v>0</v>
      </c>
      <c r="F43" s="197">
        <v>0</v>
      </c>
      <c r="G43" s="197"/>
      <c r="H43" s="197"/>
      <c r="I43" s="197">
        <v>0</v>
      </c>
      <c r="J43" s="197">
        <v>0</v>
      </c>
      <c r="K43" s="197">
        <v>0</v>
      </c>
      <c r="L43" s="197">
        <f>'ф.2'!B53</f>
        <v>-151452</v>
      </c>
      <c r="M43" s="197">
        <f>SUM(B43:L43)</f>
        <v>-151452</v>
      </c>
      <c r="N43" s="197">
        <v>0</v>
      </c>
      <c r="O43" s="196">
        <f>M43+N43</f>
        <v>-151452</v>
      </c>
      <c r="P43" s="100"/>
    </row>
    <row r="44" spans="1:16" s="22" customFormat="1" ht="15.75">
      <c r="A44" s="28" t="s">
        <v>63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6"/>
      <c r="P44" s="100"/>
    </row>
    <row r="45" spans="1:16" s="22" customFormat="1" ht="31.5">
      <c r="A45" s="25" t="s">
        <v>67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6"/>
      <c r="P45" s="100"/>
    </row>
    <row r="46" spans="1:17" s="22" customFormat="1" ht="15.75">
      <c r="A46" s="24" t="s">
        <v>223</v>
      </c>
      <c r="B46" s="197">
        <v>0</v>
      </c>
      <c r="C46" s="197">
        <v>0</v>
      </c>
      <c r="D46" s="197">
        <v>0</v>
      </c>
      <c r="E46" s="198">
        <f>'ф.2'!B61</f>
        <v>1171</v>
      </c>
      <c r="F46" s="198">
        <v>0</v>
      </c>
      <c r="G46" s="198">
        <v>0</v>
      </c>
      <c r="H46" s="198">
        <v>0</v>
      </c>
      <c r="I46" s="198">
        <v>0</v>
      </c>
      <c r="J46" s="197">
        <v>0</v>
      </c>
      <c r="K46" s="197">
        <v>0</v>
      </c>
      <c r="L46" s="197">
        <v>0</v>
      </c>
      <c r="M46" s="197">
        <f aca="true" t="shared" si="6" ref="M46:M51">SUM(B46:L46)</f>
        <v>1171</v>
      </c>
      <c r="N46" s="197">
        <v>0</v>
      </c>
      <c r="O46" s="196">
        <f aca="true" t="shared" si="7" ref="O46:O51">M46+N46</f>
        <v>1171</v>
      </c>
      <c r="P46" s="117">
        <f>'ф.2'!B61</f>
        <v>1171</v>
      </c>
      <c r="Q46" s="117">
        <f>O46-P46</f>
        <v>0</v>
      </c>
    </row>
    <row r="47" spans="1:17" s="22" customFormat="1" ht="31.5">
      <c r="A47" s="24" t="s">
        <v>224</v>
      </c>
      <c r="B47" s="197">
        <v>0</v>
      </c>
      <c r="C47" s="197">
        <v>0</v>
      </c>
      <c r="D47" s="197">
        <v>0</v>
      </c>
      <c r="E47" s="198">
        <f>'ф.2'!B62</f>
        <v>-549</v>
      </c>
      <c r="F47" s="198">
        <v>0</v>
      </c>
      <c r="G47" s="198"/>
      <c r="H47" s="198"/>
      <c r="I47" s="198">
        <v>0</v>
      </c>
      <c r="J47" s="197">
        <v>0</v>
      </c>
      <c r="K47" s="198">
        <v>0</v>
      </c>
      <c r="L47" s="197">
        <v>0</v>
      </c>
      <c r="M47" s="197">
        <f t="shared" si="6"/>
        <v>-549</v>
      </c>
      <c r="N47" s="197">
        <v>0</v>
      </c>
      <c r="O47" s="196">
        <f t="shared" si="7"/>
        <v>-549</v>
      </c>
      <c r="P47" s="117">
        <f>'ф.2'!B62</f>
        <v>-549</v>
      </c>
      <c r="Q47" s="117">
        <f>O47-P47</f>
        <v>0</v>
      </c>
    </row>
    <row r="48" spans="1:17" s="22" customFormat="1" ht="31.5" hidden="1">
      <c r="A48" s="24" t="s">
        <v>174</v>
      </c>
      <c r="B48" s="207">
        <v>0</v>
      </c>
      <c r="C48" s="207">
        <v>0</v>
      </c>
      <c r="D48" s="207">
        <v>0</v>
      </c>
      <c r="E48" s="207">
        <v>0</v>
      </c>
      <c r="F48" s="208" t="e">
        <f>'ф.2'!#REF!</f>
        <v>#REF!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197">
        <v>0</v>
      </c>
      <c r="N48" s="207"/>
      <c r="O48" s="196">
        <f t="shared" si="7"/>
        <v>0</v>
      </c>
      <c r="P48" s="117"/>
      <c r="Q48" s="117">
        <f>O48-P48</f>
        <v>0</v>
      </c>
    </row>
    <row r="49" spans="1:17" s="22" customFormat="1" ht="63" hidden="1">
      <c r="A49" s="24" t="s">
        <v>158</v>
      </c>
      <c r="B49" s="207">
        <v>0</v>
      </c>
      <c r="C49" s="207">
        <v>0</v>
      </c>
      <c r="D49" s="207">
        <v>0</v>
      </c>
      <c r="E49" s="207">
        <v>0</v>
      </c>
      <c r="F49" s="207">
        <v>0</v>
      </c>
      <c r="G49" s="208">
        <v>0</v>
      </c>
      <c r="H49" s="207">
        <v>0</v>
      </c>
      <c r="I49" s="207">
        <f>71*0</f>
        <v>0</v>
      </c>
      <c r="J49" s="207">
        <v>0</v>
      </c>
      <c r="K49" s="207">
        <v>0</v>
      </c>
      <c r="L49" s="207">
        <v>0</v>
      </c>
      <c r="M49" s="197">
        <f t="shared" si="6"/>
        <v>0</v>
      </c>
      <c r="N49" s="207"/>
      <c r="O49" s="196">
        <f t="shared" si="7"/>
        <v>0</v>
      </c>
      <c r="P49" s="117"/>
      <c r="Q49" s="117"/>
    </row>
    <row r="50" spans="1:17" s="22" customFormat="1" ht="31.5" hidden="1">
      <c r="A50" s="24" t="s">
        <v>164</v>
      </c>
      <c r="B50" s="207">
        <v>0</v>
      </c>
      <c r="C50" s="207">
        <v>0</v>
      </c>
      <c r="D50" s="207"/>
      <c r="E50" s="207">
        <f>0-2*0</f>
        <v>0</v>
      </c>
      <c r="F50" s="207">
        <v>0</v>
      </c>
      <c r="G50" s="207">
        <v>0</v>
      </c>
      <c r="H50" s="208">
        <f>-2*0</f>
        <v>0</v>
      </c>
      <c r="I50" s="207">
        <f>49*0</f>
        <v>0</v>
      </c>
      <c r="J50" s="207">
        <v>0</v>
      </c>
      <c r="K50" s="207">
        <v>0</v>
      </c>
      <c r="L50" s="207">
        <v>0</v>
      </c>
      <c r="M50" s="197">
        <f t="shared" si="6"/>
        <v>0</v>
      </c>
      <c r="N50" s="207"/>
      <c r="O50" s="196">
        <f t="shared" si="7"/>
        <v>0</v>
      </c>
      <c r="P50" s="117"/>
      <c r="Q50" s="117"/>
    </row>
    <row r="51" spans="1:17" s="22" customFormat="1" ht="31.5">
      <c r="A51" s="24" t="s">
        <v>124</v>
      </c>
      <c r="B51" s="207">
        <v>0</v>
      </c>
      <c r="C51" s="207">
        <v>0</v>
      </c>
      <c r="D51" s="207">
        <v>0</v>
      </c>
      <c r="E51" s="208">
        <f>190+1</f>
        <v>191</v>
      </c>
      <c r="F51" s="208">
        <v>0</v>
      </c>
      <c r="G51" s="208">
        <f>-71*0</f>
        <v>0</v>
      </c>
      <c r="H51" s="208">
        <f>-48*0</f>
        <v>0</v>
      </c>
      <c r="I51" s="208">
        <v>1268</v>
      </c>
      <c r="J51" s="207">
        <v>0</v>
      </c>
      <c r="K51" s="208">
        <v>0</v>
      </c>
      <c r="L51" s="207">
        <v>0</v>
      </c>
      <c r="M51" s="197">
        <f t="shared" si="6"/>
        <v>1459</v>
      </c>
      <c r="N51" s="207"/>
      <c r="O51" s="209">
        <f t="shared" si="7"/>
        <v>1459</v>
      </c>
      <c r="P51" s="117">
        <f>'ф.2'!B68</f>
        <v>1459</v>
      </c>
      <c r="Q51" s="117">
        <f>O51-P51</f>
        <v>0</v>
      </c>
    </row>
    <row r="52" spans="1:17" s="22" customFormat="1" ht="32.25" thickBot="1">
      <c r="A52" s="26" t="s">
        <v>68</v>
      </c>
      <c r="B52" s="210">
        <f>B46+B47</f>
        <v>0</v>
      </c>
      <c r="C52" s="210">
        <f>C46+C47</f>
        <v>0</v>
      </c>
      <c r="D52" s="210">
        <f>D46+D47</f>
        <v>0</v>
      </c>
      <c r="E52" s="210">
        <f aca="true" t="shared" si="8" ref="E52:M52">SUM(E46:E51)</f>
        <v>813</v>
      </c>
      <c r="F52" s="210" t="e">
        <f t="shared" si="8"/>
        <v>#REF!</v>
      </c>
      <c r="G52" s="210">
        <f t="shared" si="8"/>
        <v>0</v>
      </c>
      <c r="H52" s="210">
        <f t="shared" si="8"/>
        <v>0</v>
      </c>
      <c r="I52" s="210">
        <f t="shared" si="8"/>
        <v>1268</v>
      </c>
      <c r="J52" s="210">
        <f t="shared" si="8"/>
        <v>0</v>
      </c>
      <c r="K52" s="210">
        <f t="shared" si="8"/>
        <v>0</v>
      </c>
      <c r="L52" s="210">
        <f t="shared" si="8"/>
        <v>0</v>
      </c>
      <c r="M52" s="210">
        <f t="shared" si="8"/>
        <v>2081</v>
      </c>
      <c r="N52" s="210">
        <f>N46+N51</f>
        <v>0</v>
      </c>
      <c r="O52" s="211">
        <f>SUM(O46:O51)</f>
        <v>2081</v>
      </c>
      <c r="P52" s="117">
        <f>'ф.2'!B69</f>
        <v>2081</v>
      </c>
      <c r="Q52" s="117">
        <f>O52-P52</f>
        <v>0</v>
      </c>
    </row>
    <row r="53" spans="1:17" s="22" customFormat="1" ht="16.5" thickBot="1">
      <c r="A53" s="27" t="s">
        <v>69</v>
      </c>
      <c r="B53" s="199">
        <v>0</v>
      </c>
      <c r="C53" s="199">
        <v>0</v>
      </c>
      <c r="D53" s="199">
        <f aca="true" t="shared" si="9" ref="D53:O53">D52</f>
        <v>0</v>
      </c>
      <c r="E53" s="199">
        <f t="shared" si="9"/>
        <v>813</v>
      </c>
      <c r="F53" s="199" t="e">
        <f t="shared" si="9"/>
        <v>#REF!</v>
      </c>
      <c r="G53" s="199">
        <f t="shared" si="9"/>
        <v>0</v>
      </c>
      <c r="H53" s="199">
        <f t="shared" si="9"/>
        <v>0</v>
      </c>
      <c r="I53" s="199">
        <f>I52</f>
        <v>1268</v>
      </c>
      <c r="J53" s="199">
        <f t="shared" si="9"/>
        <v>0</v>
      </c>
      <c r="K53" s="199">
        <f t="shared" si="9"/>
        <v>0</v>
      </c>
      <c r="L53" s="199">
        <f t="shared" si="9"/>
        <v>0</v>
      </c>
      <c r="M53" s="199">
        <f t="shared" si="9"/>
        <v>2081</v>
      </c>
      <c r="N53" s="199">
        <f t="shared" si="9"/>
        <v>0</v>
      </c>
      <c r="O53" s="212">
        <f t="shared" si="9"/>
        <v>2081</v>
      </c>
      <c r="P53" s="117"/>
      <c r="Q53" s="117"/>
    </row>
    <row r="54" spans="1:16" s="29" customFormat="1" ht="16.5" thickBot="1">
      <c r="A54" s="41" t="s">
        <v>145</v>
      </c>
      <c r="B54" s="201">
        <v>0</v>
      </c>
      <c r="C54" s="201">
        <v>0</v>
      </c>
      <c r="D54" s="201">
        <f aca="true" t="shared" si="10" ref="D54:O54">D53+D43</f>
        <v>0</v>
      </c>
      <c r="E54" s="201">
        <f t="shared" si="10"/>
        <v>813</v>
      </c>
      <c r="F54" s="201" t="e">
        <f t="shared" si="10"/>
        <v>#REF!</v>
      </c>
      <c r="G54" s="201">
        <f t="shared" si="10"/>
        <v>0</v>
      </c>
      <c r="H54" s="201">
        <f t="shared" si="10"/>
        <v>0</v>
      </c>
      <c r="I54" s="201">
        <f t="shared" si="10"/>
        <v>1268</v>
      </c>
      <c r="J54" s="201">
        <f t="shared" si="10"/>
        <v>0</v>
      </c>
      <c r="K54" s="201">
        <f t="shared" si="10"/>
        <v>0</v>
      </c>
      <c r="L54" s="201">
        <f t="shared" si="10"/>
        <v>-151452</v>
      </c>
      <c r="M54" s="201">
        <f t="shared" si="10"/>
        <v>-149371</v>
      </c>
      <c r="N54" s="201">
        <f t="shared" si="10"/>
        <v>0</v>
      </c>
      <c r="O54" s="200">
        <f t="shared" si="10"/>
        <v>-149371</v>
      </c>
      <c r="P54" s="245"/>
    </row>
    <row r="55" spans="1:16" s="22" customFormat="1" ht="31.5">
      <c r="A55" s="40" t="s">
        <v>64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4"/>
      <c r="P55" s="100"/>
    </row>
    <row r="56" spans="1:16" s="22" customFormat="1" ht="15.75">
      <c r="A56" s="24" t="s">
        <v>54</v>
      </c>
      <c r="B56" s="197">
        <v>78800</v>
      </c>
      <c r="C56" s="195">
        <v>0</v>
      </c>
      <c r="D56" s="195">
        <v>0</v>
      </c>
      <c r="E56" s="195">
        <v>0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7">
        <f>L56+J56+I56+E56+D56+C56+B56</f>
        <v>78800</v>
      </c>
      <c r="N56" s="195">
        <v>0</v>
      </c>
      <c r="O56" s="196">
        <f>M56+N56</f>
        <v>78800</v>
      </c>
      <c r="P56" s="100"/>
    </row>
    <row r="57" spans="1:16" s="22" customFormat="1" ht="15.75">
      <c r="A57" s="24" t="s">
        <v>169</v>
      </c>
      <c r="B57" s="197">
        <f>-75+8</f>
        <v>-67</v>
      </c>
      <c r="C57" s="197">
        <v>8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5">
        <v>0</v>
      </c>
      <c r="K57" s="195">
        <v>0</v>
      </c>
      <c r="L57" s="197">
        <v>0</v>
      </c>
      <c r="M57" s="197">
        <f>L57+J57+I57+E57+D57+C57+B57</f>
        <v>-59</v>
      </c>
      <c r="N57" s="195">
        <v>0</v>
      </c>
      <c r="O57" s="196">
        <f>M57+N57</f>
        <v>-59</v>
      </c>
      <c r="P57" s="100"/>
    </row>
    <row r="58" spans="1:16" s="22" customFormat="1" ht="15.75">
      <c r="A58" s="24" t="s">
        <v>215</v>
      </c>
      <c r="B58" s="197">
        <v>0</v>
      </c>
      <c r="C58" s="197">
        <v>0</v>
      </c>
      <c r="D58" s="195"/>
      <c r="E58" s="195">
        <v>0</v>
      </c>
      <c r="F58" s="195"/>
      <c r="G58" s="195"/>
      <c r="H58" s="195"/>
      <c r="I58" s="195">
        <v>0</v>
      </c>
      <c r="J58" s="195">
        <v>0</v>
      </c>
      <c r="K58" s="195">
        <v>0</v>
      </c>
      <c r="L58" s="197">
        <v>-108</v>
      </c>
      <c r="M58" s="197"/>
      <c r="N58" s="195"/>
      <c r="O58" s="196">
        <f>L58</f>
        <v>-108</v>
      </c>
      <c r="P58" s="100"/>
    </row>
    <row r="59" spans="1:17" s="22" customFormat="1" ht="15.75" hidden="1">
      <c r="A59" s="24" t="s">
        <v>142</v>
      </c>
      <c r="B59" s="197">
        <v>0</v>
      </c>
      <c r="C59" s="197">
        <v>0</v>
      </c>
      <c r="D59" s="195"/>
      <c r="E59" s="195">
        <v>0</v>
      </c>
      <c r="F59" s="195">
        <v>0</v>
      </c>
      <c r="G59" s="195">
        <v>0</v>
      </c>
      <c r="H59" s="195">
        <v>0</v>
      </c>
      <c r="I59" s="195"/>
      <c r="J59" s="195">
        <v>0</v>
      </c>
      <c r="K59" s="195">
        <v>0</v>
      </c>
      <c r="L59" s="197">
        <v>0</v>
      </c>
      <c r="M59" s="197">
        <f>L59+J59+I59+E59+D59+C59+B59</f>
        <v>0</v>
      </c>
      <c r="N59" s="197">
        <v>0</v>
      </c>
      <c r="O59" s="196">
        <f>N59+M59</f>
        <v>0</v>
      </c>
      <c r="Q59" s="117">
        <f>-2557746+2</f>
        <v>-2557744</v>
      </c>
    </row>
    <row r="60" spans="1:16" s="22" customFormat="1" ht="15.75" customHeight="1">
      <c r="A60" s="38" t="s">
        <v>81</v>
      </c>
      <c r="B60" s="195">
        <f>B56+B57</f>
        <v>78733</v>
      </c>
      <c r="C60" s="195">
        <f>C56+C57+C59</f>
        <v>8</v>
      </c>
      <c r="D60" s="195">
        <f>D56+D57+D59</f>
        <v>0</v>
      </c>
      <c r="E60" s="195">
        <f>E56+E57</f>
        <v>0</v>
      </c>
      <c r="F60" s="195">
        <v>0</v>
      </c>
      <c r="G60" s="195">
        <v>0</v>
      </c>
      <c r="H60" s="195">
        <v>0</v>
      </c>
      <c r="I60" s="195">
        <f>I56+I57</f>
        <v>0</v>
      </c>
      <c r="J60" s="195">
        <f>J56+J57</f>
        <v>0</v>
      </c>
      <c r="K60" s="195">
        <f>K56+K57</f>
        <v>0</v>
      </c>
      <c r="L60" s="195">
        <f>L56+L57+L59+L58</f>
        <v>-108</v>
      </c>
      <c r="M60" s="195">
        <f>M56+M57+M59</f>
        <v>78741</v>
      </c>
      <c r="N60" s="195">
        <f>N56+N57+N59</f>
        <v>0</v>
      </c>
      <c r="O60" s="196">
        <f>O56+O57+O59+O58</f>
        <v>78633</v>
      </c>
      <c r="P60" s="100"/>
    </row>
    <row r="61" spans="1:16" s="22" customFormat="1" ht="15.75" customHeight="1" hidden="1">
      <c r="A61" s="24" t="s">
        <v>161</v>
      </c>
      <c r="B61" s="213">
        <v>0</v>
      </c>
      <c r="C61" s="213">
        <v>0</v>
      </c>
      <c r="D61" s="207">
        <f>-298*0</f>
        <v>0</v>
      </c>
      <c r="E61" s="213">
        <v>0</v>
      </c>
      <c r="F61" s="195">
        <v>0</v>
      </c>
      <c r="G61" s="195">
        <v>0</v>
      </c>
      <c r="H61" s="195">
        <v>0</v>
      </c>
      <c r="I61" s="213">
        <v>0</v>
      </c>
      <c r="J61" s="197"/>
      <c r="K61" s="197">
        <v>0</v>
      </c>
      <c r="L61" s="197">
        <f>-K61</f>
        <v>0</v>
      </c>
      <c r="M61" s="197">
        <f>SUM(B61:L61)</f>
        <v>0</v>
      </c>
      <c r="N61" s="213">
        <v>0</v>
      </c>
      <c r="O61" s="196">
        <f>N61+M61</f>
        <v>0</v>
      </c>
      <c r="P61" s="100"/>
    </row>
    <row r="62" spans="1:16" s="22" customFormat="1" ht="15.75">
      <c r="A62" s="37" t="s">
        <v>160</v>
      </c>
      <c r="B62" s="213">
        <v>0</v>
      </c>
      <c r="C62" s="213">
        <v>0</v>
      </c>
      <c r="D62" s="207">
        <v>0</v>
      </c>
      <c r="E62" s="213">
        <v>0</v>
      </c>
      <c r="F62" s="195">
        <v>0</v>
      </c>
      <c r="G62" s="195">
        <v>0</v>
      </c>
      <c r="H62" s="195">
        <v>0</v>
      </c>
      <c r="I62" s="213">
        <v>0</v>
      </c>
      <c r="J62" s="197">
        <v>-109</v>
      </c>
      <c r="K62" s="197">
        <v>0</v>
      </c>
      <c r="L62" s="197">
        <f>-J62</f>
        <v>109</v>
      </c>
      <c r="M62" s="197">
        <f>SUM(B62:L62)</f>
        <v>0</v>
      </c>
      <c r="N62" s="213">
        <v>0</v>
      </c>
      <c r="O62" s="209">
        <f>N62+M62</f>
        <v>0</v>
      </c>
      <c r="P62" s="100"/>
    </row>
    <row r="63" spans="1:16" s="22" customFormat="1" ht="18.75" customHeight="1" thickBot="1">
      <c r="A63" s="30" t="s">
        <v>202</v>
      </c>
      <c r="B63" s="214">
        <f>B39+B54+B60</f>
        <v>206965</v>
      </c>
      <c r="C63" s="214">
        <f>C39+C54+C60</f>
        <v>242</v>
      </c>
      <c r="D63" s="214">
        <f>D39+D54+D60+D61</f>
        <v>0</v>
      </c>
      <c r="E63" s="214">
        <f>E39+E54+E60</f>
        <v>2302</v>
      </c>
      <c r="F63" s="214" t="e">
        <f>F39+F54+F60</f>
        <v>#REF!</v>
      </c>
      <c r="G63" s="214">
        <f>G41+G54+G60</f>
        <v>0</v>
      </c>
      <c r="H63" s="214">
        <f>H41+H54+H60</f>
        <v>0</v>
      </c>
      <c r="I63" s="214">
        <f>I39+I54+I60</f>
        <v>2895</v>
      </c>
      <c r="J63" s="214">
        <f>J39+J54+J60+J62</f>
        <v>33</v>
      </c>
      <c r="K63" s="214">
        <f>K41+K54+K60+K61</f>
        <v>0</v>
      </c>
      <c r="L63" s="214">
        <f>L39+L54+L60+L61+L62</f>
        <v>-63757</v>
      </c>
      <c r="M63" s="214">
        <f>M41+M54+M60</f>
        <v>148788</v>
      </c>
      <c r="N63" s="214">
        <f>N39+N54+N60</f>
        <v>0</v>
      </c>
      <c r="O63" s="215">
        <f>O39+O54+O60</f>
        <v>148680</v>
      </c>
      <c r="P63" s="100">
        <f>P59+N59</f>
        <v>0</v>
      </c>
    </row>
    <row r="64" spans="1:16" s="217" customFormat="1" ht="18" customHeight="1">
      <c r="A64" s="216"/>
      <c r="B64" s="281">
        <f>'ф.1'!B52</f>
        <v>206965</v>
      </c>
      <c r="C64" s="281">
        <f>'ф.1'!B53</f>
        <v>242</v>
      </c>
      <c r="D64" s="281"/>
      <c r="E64" s="281">
        <f>'ф.1'!B54</f>
        <v>2302</v>
      </c>
      <c r="F64" s="281"/>
      <c r="G64" s="281"/>
      <c r="H64" s="281"/>
      <c r="I64" s="281">
        <f>'ф.1'!B58</f>
        <v>2895</v>
      </c>
      <c r="J64" s="281">
        <f>'ф.1'!B59</f>
        <v>33</v>
      </c>
      <c r="K64" s="281"/>
      <c r="L64" s="281">
        <f>'ф.1'!B61</f>
        <v>-63757</v>
      </c>
      <c r="M64" s="281"/>
      <c r="N64" s="281"/>
      <c r="O64" s="281">
        <f>SUM(B64:L64)</f>
        <v>148680</v>
      </c>
      <c r="P64" s="117"/>
    </row>
    <row r="65" spans="1:16" s="217" customFormat="1" ht="15" customHeight="1">
      <c r="A65" s="218" t="s">
        <v>37</v>
      </c>
      <c r="B65" s="281">
        <f>B63-B64</f>
        <v>0</v>
      </c>
      <c r="C65" s="281">
        <f>C63-C64</f>
        <v>0</v>
      </c>
      <c r="D65" s="281"/>
      <c r="E65" s="281">
        <f>E63-E64</f>
        <v>0</v>
      </c>
      <c r="F65" s="281" t="e">
        <f>F63-'ф.1'!#REF!</f>
        <v>#REF!</v>
      </c>
      <c r="G65" s="281" t="e">
        <f>G63-'ф.1'!#REF!</f>
        <v>#REF!</v>
      </c>
      <c r="H65" s="281" t="e">
        <f>H63-'ф.1'!#REF!</f>
        <v>#REF!</v>
      </c>
      <c r="I65" s="281">
        <f>I63-I64</f>
        <v>0</v>
      </c>
      <c r="J65" s="281">
        <f>J63-J64</f>
        <v>0</v>
      </c>
      <c r="K65" s="281">
        <f>K63-K64</f>
        <v>0</v>
      </c>
      <c r="L65" s="281">
        <f>L63-L64</f>
        <v>0</v>
      </c>
      <c r="M65" s="281" t="e">
        <f>M63-'ф.1'!#REF!</f>
        <v>#REF!</v>
      </c>
      <c r="N65" s="281" t="e">
        <f>N63-'ф.1'!#REF!</f>
        <v>#REF!</v>
      </c>
      <c r="O65" s="281">
        <f>O63-O64</f>
        <v>0</v>
      </c>
      <c r="P65" s="117"/>
    </row>
    <row r="66" spans="1:16" s="22" customFormat="1" ht="11.25" customHeight="1">
      <c r="A66" s="115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00"/>
    </row>
    <row r="67" spans="1:16" s="22" customFormat="1" ht="15.75">
      <c r="A67" s="179" t="s">
        <v>163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00"/>
    </row>
    <row r="68" spans="1:16" s="22" customFormat="1" ht="11.25" customHeight="1">
      <c r="A68" s="115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00"/>
    </row>
    <row r="69" spans="1:16" s="22" customFormat="1" ht="11.25" customHeight="1">
      <c r="A69" s="115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00"/>
    </row>
    <row r="70" spans="1:16" s="22" customFormat="1" ht="19.5" customHeight="1">
      <c r="A70" s="116" t="str">
        <f>'ф.1'!A72</f>
        <v>Председатель Правления                                              </v>
      </c>
      <c r="B70" s="104"/>
      <c r="C70" s="86" t="str">
        <f>'ф.1'!B72</f>
        <v>Пирматов Б.О.</v>
      </c>
      <c r="D70" s="67"/>
      <c r="E70" s="67"/>
      <c r="F70" s="67"/>
      <c r="G70" s="67"/>
      <c r="H70" s="67"/>
      <c r="I70" s="67"/>
      <c r="J70" s="67"/>
      <c r="K70" s="67"/>
      <c r="L70" s="31"/>
      <c r="M70" s="67"/>
      <c r="N70" s="67"/>
      <c r="P70" s="100"/>
    </row>
    <row r="71" spans="1:16" s="22" customFormat="1" ht="10.5" customHeight="1">
      <c r="A71" s="105"/>
      <c r="B71" s="105"/>
      <c r="C71" s="105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P71" s="100"/>
    </row>
    <row r="72" spans="1:16" s="22" customFormat="1" ht="12" customHeight="1">
      <c r="A72" s="106"/>
      <c r="B72" s="106"/>
      <c r="C72" s="10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P72" s="100"/>
    </row>
    <row r="73" spans="1:4" ht="20.25" customHeight="1">
      <c r="A73" s="164" t="str">
        <f>'ф.1'!A75</f>
        <v>Главный бухгалтер                                                        </v>
      </c>
      <c r="B73" s="86"/>
      <c r="C73" s="86" t="str">
        <f>'ф.1'!B75</f>
        <v>Багаутдинова Н.М.</v>
      </c>
      <c r="D73" s="68"/>
    </row>
    <row r="74" spans="1:14" ht="21" customHeight="1">
      <c r="A74" s="165" t="s">
        <v>93</v>
      </c>
      <c r="B74" s="107"/>
      <c r="C74" s="107"/>
      <c r="K74" s="108"/>
      <c r="L74" s="22"/>
      <c r="M74" s="22"/>
      <c r="N74" s="22"/>
    </row>
    <row r="75" spans="1:14" ht="15.75" customHeight="1">
      <c r="A75" s="166" t="s">
        <v>94</v>
      </c>
      <c r="B75" s="107"/>
      <c r="C75" s="107"/>
      <c r="L75" s="22"/>
      <c r="M75" s="22"/>
      <c r="N75" s="22"/>
    </row>
    <row r="76" spans="1:14" ht="13.5" customHeight="1">
      <c r="A76" s="167" t="s">
        <v>95</v>
      </c>
      <c r="B76" s="107"/>
      <c r="C76" s="107"/>
      <c r="L76" s="22"/>
      <c r="M76" s="22"/>
      <c r="N76" s="22"/>
    </row>
    <row r="77" spans="1:14" ht="15">
      <c r="A77" s="233"/>
      <c r="L77" s="22"/>
      <c r="M77" s="22"/>
      <c r="N77" s="22"/>
    </row>
  </sheetData>
  <sheetProtection/>
  <mergeCells count="7">
    <mergeCell ref="A11:O11"/>
    <mergeCell ref="A10:O10"/>
    <mergeCell ref="A4:B4"/>
    <mergeCell ref="A5:B5"/>
    <mergeCell ref="A7:O7"/>
    <mergeCell ref="A8:O8"/>
    <mergeCell ref="A9:O9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9" scale="3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2019-07-30T08:03:25Z</cp:lastPrinted>
  <dcterms:created xsi:type="dcterms:W3CDTF">2014-03-12T12:50:09Z</dcterms:created>
  <dcterms:modified xsi:type="dcterms:W3CDTF">2019-07-30T09:56:46Z</dcterms:modified>
  <cp:category/>
  <cp:version/>
  <cp:contentType/>
  <cp:contentStatus/>
</cp:coreProperties>
</file>