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3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'ф.3'!$A$15</definedName>
    <definedName name="_xlnm.Print_Area" localSheetId="0">'ф.1'!$A$1:$C$74</definedName>
    <definedName name="_xlnm.Print_Area" localSheetId="1">'ф.2'!$A$1:$E$125</definedName>
  </definedNames>
  <calcPr fullCalcOnLoad="1"/>
</workbook>
</file>

<file path=xl/sharedStrings.xml><?xml version="1.0" encoding="utf-8"?>
<sst xmlns="http://schemas.openxmlformats.org/spreadsheetml/2006/main" count="259" uniqueCount="197">
  <si>
    <t>ОТЧЕТ О ФИНАНСОВОМ ПОЛОЖЕНИИ</t>
  </si>
  <si>
    <t xml:space="preserve">(консолидированный) </t>
  </si>
  <si>
    <t>АО "Цеснабанк"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</si>
  <si>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</si>
  <si>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</si>
  <si>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</si>
  <si>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</si>
  <si>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</si>
  <si>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</si>
  <si>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</si>
  <si>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</si>
  <si>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</si>
  <si>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</si>
  <si>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</si>
  <si>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</si>
  <si>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</si>
  <si>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</si>
  <si>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</si>
  <si>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</si>
  <si>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</si>
  <si>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</si>
  <si>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</si>
  <si>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</si>
  <si>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</si>
  <si>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</si>
  <si>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</si>
  <si>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</si>
  <si>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</si>
  <si>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</si>
  <si>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</si>
  <si>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</si>
  <si>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</si>
  <si>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</si>
  <si>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</si>
  <si>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</si>
  <si>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</si>
  <si>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</si>
  <si>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Чистая прибыль от операций с финансовыми активами, имеющимися в наличии для продажи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</si>
  <si>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</si>
  <si>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</si>
  <si>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</si>
  <si>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</si>
  <si>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</si>
  <si>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</si>
  <si>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</si>
  <si>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</si>
  <si>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</si>
  <si>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</si>
  <si>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</si>
  <si>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</si>
  <si>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</si>
  <si>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</si>
  <si>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</si>
  <si>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</si>
  <si>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</si>
  <si>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</si>
  <si>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</si>
  <si>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</si>
  <si>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</si>
  <si>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</si>
  <si>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</si>
  <si>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</si>
  <si>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</si>
  <si>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</si>
  <si>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</si>
  <si>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</si>
  <si>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</si>
  <si>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</si>
  <si>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</si>
  <si>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</si>
  <si>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</si>
  <si>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</si>
  <si>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</si>
  <si>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тыс.тенге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</si>
  <si>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</si>
  <si>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</si>
  <si>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</si>
  <si>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</si>
  <si>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</si>
  <si>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</si>
  <si>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</si>
  <si>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</si>
  <si>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</si>
  <si>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</si>
  <si>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</si>
  <si>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</si>
  <si>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</si>
  <si>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</si>
  <si>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</si>
  <si>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</si>
  <si>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</si>
  <si>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</si>
  <si>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</si>
  <si>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</si>
  <si>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</si>
  <si>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</si>
  <si>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</si>
  <si>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</si>
  <si>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</si>
  <si>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</si>
  <si>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</si>
  <si>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</si>
  <si>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</si>
  <si>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</si>
  <si>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</si>
  <si>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</si>
  <si>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</si>
  <si>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</si>
  <si>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</si>
  <si>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</si>
  <si>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</si>
  <si>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</si>
  <si>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</si>
  <si>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</si>
  <si>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</si>
  <si>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</si>
  <si>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</si>
  <si>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</si>
  <si>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</si>
  <si>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</si>
  <si>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</si>
  <si>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</si>
  <si>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</si>
  <si>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</si>
  <si>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</si>
  <si>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</si>
  <si>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</si>
  <si>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</si>
  <si>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</si>
  <si>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</si>
  <si>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</si>
  <si>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</si>
  <si>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</si>
  <si>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</si>
  <si>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</si>
  <si>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</si>
  <si>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</si>
  <si>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</si>
  <si>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</si>
  <si>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</si>
  <si>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Перевод из обязательного резерва</t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</si>
  <si>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</si>
  <si>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</si>
  <si>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</si>
  <si>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</si>
  <si>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</si>
  <si>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</si>
  <si>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</si>
  <si>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</si>
  <si>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10</t>
  </si>
  <si>
    <t xml:space="preserve">Главный бухгалтер                                                        </t>
  </si>
  <si>
    <t>Багаутдинова Н.М.</t>
  </si>
  <si>
    <t xml:space="preserve">Председатель Правления                                              </t>
  </si>
  <si>
    <t>Изменения доли перестраховщиков в резервах по договорам страхования</t>
  </si>
  <si>
    <t>Чистая прибыль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</si>
  <si>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Чистый (убыток) прибыль от операций с иностранной валютой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</si>
  <si>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</si>
  <si>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</si>
  <si>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</si>
  <si>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</si>
  <si>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 xml:space="preserve">Чистое поступление (использование) денежных средств от (в) инвестиционной деятельности </t>
  </si>
  <si>
    <t>Прибыль за год</t>
  </si>
  <si>
    <t>Всего совокупного дохода за год</t>
  </si>
  <si>
    <t xml:space="preserve">  по состоянию на 31 марта 2016 года</t>
  </si>
  <si>
    <t>за 3 месяца, закончившиеся 31.03.2016 года</t>
  </si>
  <si>
    <t>31.03.2016г.*</t>
  </si>
  <si>
    <t>Кредиторская задолженность по сделкам "репо"</t>
  </si>
  <si>
    <t>в т.ч. дивиденды по привилегированным акциям</t>
  </si>
  <si>
    <t>Увеличение доли в дочерней компании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</si>
  <si>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</si>
  <si>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</si>
  <si>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 за период</t>
  </si>
  <si>
    <t>Прибыль, причитающаяся:</t>
  </si>
  <si>
    <t xml:space="preserve"> -неконтролирующим акционерам</t>
  </si>
  <si>
    <t>- курсовые разницы при пересчете показателей иностранных подразделений из других валют</t>
  </si>
  <si>
    <t>Прочий совокупный (убыток) доход за период</t>
  </si>
  <si>
    <t>Всего совокупного дохода, причитающегося:</t>
  </si>
  <si>
    <t xml:space="preserve"> - акционерам Банка</t>
  </si>
  <si>
    <t>Всего совокупного дохода за период</t>
  </si>
  <si>
    <t>Общий совокупный доход за период</t>
  </si>
  <si>
    <t>Остаток по состоянию на 31 марта 2015 года*</t>
  </si>
  <si>
    <t>Остаток по состоянию на 31 марта 2016 года*</t>
  </si>
  <si>
    <t>Денежные средства и их эквиваленты на конец периода</t>
  </si>
  <si>
    <t>Денежные средства и их эквиваленты на начало периода</t>
  </si>
  <si>
    <t>31.12.2015г.*</t>
  </si>
  <si>
    <t>3 месяца 2016г.*</t>
  </si>
  <si>
    <t>3 месяца 2015г.*</t>
  </si>
  <si>
    <t>Приобретение инвестиций в дочерние компании</t>
  </si>
  <si>
    <t>Остаток по состоянию на 1 января 2016 года*</t>
  </si>
  <si>
    <t>Остаток по состоянию на 1 января 2015 года*</t>
  </si>
  <si>
    <t>Дивиденды по акциям</t>
  </si>
  <si>
    <t>11</t>
  </si>
  <si>
    <t>Балансовая стоимость одной простой акции по состоянию на 31.03.2016г. составляет 2814 тенге.</t>
  </si>
  <si>
    <t>Таджияков Е.Б.</t>
  </si>
  <si>
    <t>Балансовая стоимость одной привилегированной акции по состоянию на 31.03.2016 г. составляет 1125 тенге.</t>
  </si>
  <si>
    <t>Базовая прибыль (убыток) на одну простую акцию по состоянию на 31.03.2016 составляет 137 тенге.</t>
  </si>
  <si>
    <t>НБРК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</si>
</sst>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  <numFmt numFmtId="170" formatCode="_-* #,##0.0_-;\-* #,##0.0_-;_-* &quot;-&quot;??_-;_-@_-"/>
    <numFmt numFmtId="171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b/>
      <sz val="12"/>
      <color theme="0"/>
      <name val="Times New Roman Cyr"/>
      <family val="0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33" borderId="16" xfId="0" applyFont="1" applyFill="1" applyBorder="1" applyAlignment="1">
      <alignment wrapText="1"/>
    </xf>
    <xf numFmtId="167" fontId="2" fillId="0" borderId="17" xfId="67" applyNumberFormat="1" applyFont="1" applyFill="1" applyBorder="1" applyAlignment="1">
      <alignment horizontal="right" vertical="center"/>
    </xf>
    <xf numFmtId="167" fontId="2" fillId="0" borderId="14" xfId="69" applyNumberFormat="1" applyFont="1" applyFill="1" applyBorder="1" applyAlignment="1">
      <alignment vertical="center"/>
    </xf>
    <xf numFmtId="167" fontId="2" fillId="0" borderId="14" xfId="67" applyNumberFormat="1" applyFont="1" applyFill="1" applyBorder="1" applyAlignment="1">
      <alignment horizontal="right" vertical="center"/>
    </xf>
    <xf numFmtId="167" fontId="2" fillId="0" borderId="17" xfId="69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horizontal="right" wrapText="1"/>
    </xf>
    <xf numFmtId="167" fontId="4" fillId="0" borderId="14" xfId="0" applyNumberFormat="1" applyFont="1" applyFill="1" applyBorder="1" applyAlignment="1">
      <alignment horizontal="right" wrapText="1"/>
    </xf>
    <xf numFmtId="167" fontId="2" fillId="0" borderId="18" xfId="0" applyNumberFormat="1" applyFont="1" applyFill="1" applyBorder="1" applyAlignment="1">
      <alignment horizontal="right" wrapText="1"/>
    </xf>
    <xf numFmtId="167" fontId="9" fillId="0" borderId="17" xfId="67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8" fillId="0" borderId="19" xfId="0" applyFont="1" applyBorder="1" applyAlignment="1">
      <alignment vertical="center"/>
    </xf>
    <xf numFmtId="0" fontId="79" fillId="0" borderId="11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79" fillId="0" borderId="19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79" fillId="0" borderId="20" xfId="0" applyFont="1" applyBorder="1" applyAlignment="1">
      <alignment vertical="center" wrapText="1"/>
    </xf>
    <xf numFmtId="169" fontId="26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49" fontId="26" fillId="0" borderId="0" xfId="0" applyNumberFormat="1" applyFont="1" applyAlignment="1">
      <alignment horizontal="center" vertical="center"/>
    </xf>
    <xf numFmtId="0" fontId="21" fillId="0" borderId="21" xfId="0" applyFont="1" applyFill="1" applyBorder="1" applyAlignment="1">
      <alignment vertical="center" wrapText="1"/>
    </xf>
    <xf numFmtId="169" fontId="21" fillId="0" borderId="22" xfId="0" applyNumberFormat="1" applyFont="1" applyFill="1" applyBorder="1" applyAlignment="1">
      <alignment horizontal="right" vertical="top"/>
    </xf>
    <xf numFmtId="169" fontId="18" fillId="0" borderId="22" xfId="0" applyNumberFormat="1" applyFont="1" applyFill="1" applyBorder="1" applyAlignment="1">
      <alignment horizontal="right" vertical="top"/>
    </xf>
    <xf numFmtId="169" fontId="21" fillId="0" borderId="23" xfId="0" applyNumberFormat="1" applyFont="1" applyFill="1" applyBorder="1" applyAlignment="1">
      <alignment horizontal="right" vertical="top"/>
    </xf>
    <xf numFmtId="169" fontId="26" fillId="0" borderId="0" xfId="0" applyNumberFormat="1" applyFont="1" applyFill="1" applyAlignment="1">
      <alignment/>
    </xf>
    <xf numFmtId="0" fontId="21" fillId="0" borderId="21" xfId="0" applyFont="1" applyFill="1" applyBorder="1" applyAlignment="1">
      <alignment/>
    </xf>
    <xf numFmtId="0" fontId="18" fillId="0" borderId="21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wrapText="1"/>
    </xf>
    <xf numFmtId="167" fontId="18" fillId="0" borderId="22" xfId="0" applyNumberFormat="1" applyFont="1" applyFill="1" applyBorder="1" applyAlignment="1">
      <alignment horizontal="right" vertical="top"/>
    </xf>
    <xf numFmtId="0" fontId="31" fillId="0" borderId="21" xfId="0" applyFont="1" applyFill="1" applyBorder="1" applyAlignment="1">
      <alignment vertical="center" wrapText="1"/>
    </xf>
    <xf numFmtId="169" fontId="30" fillId="0" borderId="22" xfId="0" applyNumberFormat="1" applyFont="1" applyFill="1" applyBorder="1" applyAlignment="1">
      <alignment horizontal="right" vertical="top"/>
    </xf>
    <xf numFmtId="169" fontId="21" fillId="0" borderId="24" xfId="0" applyNumberFormat="1" applyFont="1" applyFill="1" applyBorder="1" applyAlignment="1">
      <alignment horizontal="right" vertical="top"/>
    </xf>
    <xf numFmtId="0" fontId="21" fillId="0" borderId="25" xfId="0" applyFont="1" applyFill="1" applyBorder="1" applyAlignment="1">
      <alignment vertical="center" wrapText="1"/>
    </xf>
    <xf numFmtId="169" fontId="18" fillId="0" borderId="26" xfId="0" applyNumberFormat="1" applyFont="1" applyFill="1" applyBorder="1" applyAlignment="1">
      <alignment horizontal="right" vertical="top"/>
    </xf>
    <xf numFmtId="169" fontId="21" fillId="0" borderId="27" xfId="0" applyNumberFormat="1" applyFont="1" applyFill="1" applyBorder="1" applyAlignment="1">
      <alignment horizontal="right" vertical="top"/>
    </xf>
    <xf numFmtId="0" fontId="21" fillId="0" borderId="25" xfId="0" applyFont="1" applyFill="1" applyBorder="1" applyAlignment="1">
      <alignment/>
    </xf>
    <xf numFmtId="169" fontId="21" fillId="0" borderId="26" xfId="0" applyNumberFormat="1" applyFont="1" applyFill="1" applyBorder="1" applyAlignment="1">
      <alignment horizontal="right" vertical="top"/>
    </xf>
    <xf numFmtId="0" fontId="18" fillId="0" borderId="21" xfId="0" applyFont="1" applyFill="1" applyBorder="1" applyAlignment="1">
      <alignment/>
    </xf>
    <xf numFmtId="169" fontId="21" fillId="0" borderId="28" xfId="0" applyNumberFormat="1" applyFont="1" applyFill="1" applyBorder="1" applyAlignment="1">
      <alignment horizontal="right" vertical="top"/>
    </xf>
    <xf numFmtId="0" fontId="21" fillId="0" borderId="21" xfId="0" applyFont="1" applyFill="1" applyBorder="1" applyAlignment="1">
      <alignment wrapText="1"/>
    </xf>
    <xf numFmtId="169" fontId="28" fillId="0" borderId="0" xfId="0" applyNumberFormat="1" applyFont="1" applyFill="1" applyAlignment="1">
      <alignment/>
    </xf>
    <xf numFmtId="0" fontId="21" fillId="0" borderId="29" xfId="0" applyFont="1" applyFill="1" applyBorder="1" applyAlignment="1">
      <alignment wrapText="1"/>
    </xf>
    <xf numFmtId="169" fontId="21" fillId="0" borderId="30" xfId="0" applyNumberFormat="1" applyFont="1" applyFill="1" applyBorder="1" applyAlignment="1">
      <alignment horizontal="right" vertical="top"/>
    </xf>
    <xf numFmtId="169" fontId="21" fillId="0" borderId="31" xfId="0" applyNumberFormat="1" applyFont="1" applyFill="1" applyBorder="1" applyAlignment="1">
      <alignment horizontal="right" vertical="top"/>
    </xf>
    <xf numFmtId="169" fontId="21" fillId="0" borderId="0" xfId="0" applyNumberFormat="1" applyFont="1" applyFill="1" applyBorder="1" applyAlignment="1">
      <alignment horizontal="right" vertical="top"/>
    </xf>
    <xf numFmtId="169" fontId="26" fillId="0" borderId="0" xfId="0" applyNumberFormat="1" applyFont="1" applyAlignment="1">
      <alignment horizontal="right" vertical="top"/>
    </xf>
    <xf numFmtId="169" fontId="4" fillId="0" borderId="0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169" fontId="18" fillId="0" borderId="28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wrapText="1"/>
    </xf>
    <xf numFmtId="169" fontId="21" fillId="0" borderId="33" xfId="0" applyNumberFormat="1" applyFont="1" applyFill="1" applyBorder="1" applyAlignment="1">
      <alignment horizontal="right" vertical="top"/>
    </xf>
    <xf numFmtId="169" fontId="21" fillId="0" borderId="34" xfId="0" applyNumberFormat="1" applyFont="1" applyFill="1" applyBorder="1" applyAlignment="1">
      <alignment horizontal="right" vertical="top"/>
    </xf>
    <xf numFmtId="0" fontId="21" fillId="0" borderId="35" xfId="0" applyFont="1" applyFill="1" applyBorder="1" applyAlignment="1">
      <alignment wrapText="1"/>
    </xf>
    <xf numFmtId="0" fontId="79" fillId="0" borderId="36" xfId="0" applyFont="1" applyBorder="1" applyAlignment="1">
      <alignment vertical="center" wrapText="1"/>
    </xf>
    <xf numFmtId="0" fontId="21" fillId="0" borderId="37" xfId="0" applyFont="1" applyFill="1" applyBorder="1" applyAlignment="1">
      <alignment/>
    </xf>
    <xf numFmtId="169" fontId="21" fillId="0" borderId="38" xfId="0" applyNumberFormat="1" applyFont="1" applyFill="1" applyBorder="1" applyAlignment="1">
      <alignment horizontal="right" vertical="top"/>
    </xf>
    <xf numFmtId="167" fontId="4" fillId="0" borderId="39" xfId="0" applyNumberFormat="1" applyFont="1" applyFill="1" applyBorder="1" applyAlignment="1">
      <alignment wrapText="1"/>
    </xf>
    <xf numFmtId="167" fontId="4" fillId="0" borderId="12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169" fontId="30" fillId="0" borderId="28" xfId="0" applyNumberFormat="1" applyFont="1" applyFill="1" applyBorder="1" applyAlignment="1">
      <alignment horizontal="right" vertical="top"/>
    </xf>
    <xf numFmtId="169" fontId="33" fillId="0" borderId="24" xfId="0" applyNumberFormat="1" applyFont="1" applyFill="1" applyBorder="1" applyAlignment="1">
      <alignment horizontal="right" vertical="top"/>
    </xf>
    <xf numFmtId="0" fontId="21" fillId="0" borderId="40" xfId="0" applyFont="1" applyFill="1" applyBorder="1" applyAlignment="1">
      <alignment wrapText="1"/>
    </xf>
    <xf numFmtId="169" fontId="21" fillId="0" borderId="41" xfId="0" applyNumberFormat="1" applyFont="1" applyFill="1" applyBorder="1" applyAlignment="1">
      <alignment horizontal="right" vertical="top"/>
    </xf>
    <xf numFmtId="169" fontId="18" fillId="0" borderId="38" xfId="0" applyNumberFormat="1" applyFont="1" applyFill="1" applyBorder="1" applyAlignment="1">
      <alignment horizontal="right" vertical="top"/>
    </xf>
    <xf numFmtId="0" fontId="21" fillId="0" borderId="25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3" fontId="78" fillId="0" borderId="0" xfId="0" applyNumberFormat="1" applyFont="1" applyFill="1" applyAlignment="1">
      <alignment/>
    </xf>
    <xf numFmtId="169" fontId="18" fillId="0" borderId="0" xfId="54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8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3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169" fontId="4" fillId="0" borderId="0" xfId="0" applyNumberFormat="1" applyFont="1" applyBorder="1" applyAlignment="1">
      <alignment vertical="center" wrapText="1"/>
    </xf>
    <xf numFmtId="0" fontId="23" fillId="34" borderId="0" xfId="0" applyFont="1" applyFill="1" applyAlignment="1">
      <alignment/>
    </xf>
    <xf numFmtId="0" fontId="15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/>
    </xf>
    <xf numFmtId="168" fontId="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67" fontId="2" fillId="0" borderId="0" xfId="0" applyNumberFormat="1" applyFont="1" applyAlignment="1">
      <alignment/>
    </xf>
    <xf numFmtId="0" fontId="2" fillId="0" borderId="19" xfId="0" applyFont="1" applyBorder="1" applyAlignment="1">
      <alignment wrapText="1"/>
    </xf>
    <xf numFmtId="0" fontId="4" fillId="0" borderId="42" xfId="0" applyFont="1" applyBorder="1" applyAlignment="1">
      <alignment wrapText="1"/>
    </xf>
    <xf numFmtId="167" fontId="2" fillId="0" borderId="17" xfId="64" applyNumberFormat="1" applyFont="1" applyFill="1" applyBorder="1" applyAlignment="1">
      <alignment vertical="center"/>
    </xf>
    <xf numFmtId="167" fontId="4" fillId="0" borderId="12" xfId="64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wrapText="1"/>
    </xf>
    <xf numFmtId="167" fontId="2" fillId="0" borderId="43" xfId="64" applyNumberFormat="1" applyFont="1" applyFill="1" applyBorder="1" applyAlignment="1">
      <alignment vertical="center"/>
    </xf>
    <xf numFmtId="167" fontId="9" fillId="0" borderId="43" xfId="64" applyNumberFormat="1" applyFont="1" applyFill="1" applyBorder="1" applyAlignment="1">
      <alignment vertical="center" wrapText="1"/>
    </xf>
    <xf numFmtId="167" fontId="2" fillId="0" borderId="43" xfId="64" applyNumberFormat="1" applyFont="1" applyFill="1" applyBorder="1" applyAlignment="1">
      <alignment horizontal="right" vertical="center"/>
    </xf>
    <xf numFmtId="167" fontId="2" fillId="0" borderId="14" xfId="64" applyNumberFormat="1" applyFont="1" applyFill="1" applyBorder="1" applyAlignment="1">
      <alignment vertical="center"/>
    </xf>
    <xf numFmtId="167" fontId="4" fillId="0" borderId="12" xfId="64" applyNumberFormat="1" applyFont="1" applyFill="1" applyBorder="1" applyAlignment="1">
      <alignment vertical="center"/>
    </xf>
    <xf numFmtId="0" fontId="2" fillId="0" borderId="44" xfId="0" applyFont="1" applyBorder="1" applyAlignment="1">
      <alignment/>
    </xf>
    <xf numFmtId="0" fontId="18" fillId="0" borderId="44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8" fillId="0" borderId="16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167" fontId="9" fillId="0" borderId="14" xfId="64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7" fontId="2" fillId="0" borderId="13" xfId="0" applyNumberFormat="1" applyFont="1" applyFill="1" applyBorder="1" applyAlignment="1">
      <alignment horizontal="center" wrapText="1"/>
    </xf>
    <xf numFmtId="167" fontId="2" fillId="0" borderId="14" xfId="64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67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167" fontId="5" fillId="0" borderId="12" xfId="64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69" fontId="21" fillId="0" borderId="26" xfId="56" applyNumberFormat="1" applyFont="1" applyFill="1" applyBorder="1" applyAlignment="1">
      <alignment horizontal="center" vertical="center" wrapText="1"/>
      <protection/>
    </xf>
    <xf numFmtId="0" fontId="18" fillId="0" borderId="22" xfId="0" applyFont="1" applyFill="1" applyBorder="1" applyAlignment="1">
      <alignment vertical="center" wrapText="1"/>
    </xf>
    <xf numFmtId="169" fontId="32" fillId="0" borderId="37" xfId="0" applyNumberFormat="1" applyFont="1" applyFill="1" applyBorder="1" applyAlignment="1">
      <alignment horizontal="left" vertical="top" wrapText="1"/>
    </xf>
    <xf numFmtId="169" fontId="18" fillId="0" borderId="45" xfId="0" applyNumberFormat="1" applyFont="1" applyFill="1" applyBorder="1" applyAlignment="1">
      <alignment horizontal="right" vertical="top"/>
    </xf>
    <xf numFmtId="169" fontId="18" fillId="0" borderId="46" xfId="0" applyNumberFormat="1" applyFont="1" applyFill="1" applyBorder="1" applyAlignment="1">
      <alignment horizontal="right" vertical="top"/>
    </xf>
    <xf numFmtId="169" fontId="18" fillId="0" borderId="0" xfId="54" applyNumberFormat="1" applyFont="1" applyFill="1" applyAlignment="1">
      <alignment horizontal="right" vertical="top"/>
      <protection/>
    </xf>
    <xf numFmtId="169" fontId="21" fillId="0" borderId="26" xfId="54" applyNumberFormat="1" applyFont="1" applyFill="1" applyBorder="1" applyAlignment="1">
      <alignment horizontal="center" vertical="center" wrapText="1"/>
      <protection/>
    </xf>
    <xf numFmtId="49" fontId="18" fillId="0" borderId="38" xfId="54" applyNumberFormat="1" applyFont="1" applyFill="1" applyBorder="1" applyAlignment="1">
      <alignment horizontal="center" vertical="center"/>
      <protection/>
    </xf>
    <xf numFmtId="169" fontId="26" fillId="0" borderId="0" xfId="0" applyNumberFormat="1" applyFont="1" applyFill="1" applyAlignment="1">
      <alignment horizontal="right" vertical="top"/>
    </xf>
    <xf numFmtId="169" fontId="26" fillId="0" borderId="0" xfId="0" applyNumberFormat="1" applyFont="1" applyFill="1" applyAlignment="1">
      <alignment vertical="top" wrapText="1"/>
    </xf>
    <xf numFmtId="43" fontId="20" fillId="0" borderId="0" xfId="64" applyFont="1" applyFill="1" applyBorder="1" applyAlignment="1">
      <alignment horizontal="center" wrapText="1"/>
    </xf>
    <xf numFmtId="167" fontId="5" fillId="0" borderId="12" xfId="67" applyNumberFormat="1" applyFont="1" applyFill="1" applyBorder="1" applyAlignment="1">
      <alignment horizontal="center" vertical="center" wrapText="1"/>
    </xf>
    <xf numFmtId="43" fontId="5" fillId="0" borderId="43" xfId="64" applyFont="1" applyFill="1" applyBorder="1" applyAlignment="1">
      <alignment horizontal="center" wrapText="1"/>
    </xf>
    <xf numFmtId="43" fontId="4" fillId="0" borderId="47" xfId="64" applyFont="1" applyFill="1" applyBorder="1" applyAlignment="1">
      <alignment horizontal="center" wrapText="1"/>
    </xf>
    <xf numFmtId="167" fontId="4" fillId="0" borderId="11" xfId="0" applyNumberFormat="1" applyFont="1" applyFill="1" applyBorder="1" applyAlignment="1">
      <alignment wrapText="1"/>
    </xf>
    <xf numFmtId="169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7" fillId="0" borderId="12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center" wrapText="1"/>
    </xf>
    <xf numFmtId="0" fontId="27" fillId="0" borderId="48" xfId="0" applyFont="1" applyFill="1" applyBorder="1" applyAlignment="1">
      <alignment vertical="center" wrapText="1"/>
    </xf>
    <xf numFmtId="167" fontId="10" fillId="0" borderId="14" xfId="0" applyNumberFormat="1" applyFont="1" applyFill="1" applyBorder="1" applyAlignment="1">
      <alignment wrapText="1"/>
    </xf>
    <xf numFmtId="165" fontId="10" fillId="0" borderId="14" xfId="64" applyNumberFormat="1" applyFont="1" applyFill="1" applyBorder="1" applyAlignment="1">
      <alignment vertical="center" wrapText="1"/>
    </xf>
    <xf numFmtId="165" fontId="27" fillId="0" borderId="14" xfId="64" applyNumberFormat="1" applyFont="1" applyFill="1" applyBorder="1" applyAlignment="1">
      <alignment vertical="center" wrapText="1"/>
    </xf>
    <xf numFmtId="167" fontId="27" fillId="0" borderId="14" xfId="0" applyNumberFormat="1" applyFont="1" applyFill="1" applyBorder="1" applyAlignment="1">
      <alignment wrapText="1"/>
    </xf>
    <xf numFmtId="165" fontId="54" fillId="0" borderId="14" xfId="64" applyNumberFormat="1" applyFont="1" applyFill="1" applyBorder="1" applyAlignment="1">
      <alignment/>
    </xf>
    <xf numFmtId="167" fontId="27" fillId="0" borderId="18" xfId="0" applyNumberFormat="1" applyFont="1" applyFill="1" applyBorder="1" applyAlignment="1">
      <alignment wrapText="1"/>
    </xf>
    <xf numFmtId="3" fontId="54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 horizontal="right" wrapText="1" indent="1"/>
    </xf>
    <xf numFmtId="0" fontId="18" fillId="33" borderId="0" xfId="53" applyFont="1" applyFill="1" applyBorder="1" applyAlignment="1">
      <alignment/>
      <protection/>
    </xf>
    <xf numFmtId="167" fontId="5" fillId="33" borderId="0" xfId="69" applyNumberFormat="1" applyFont="1" applyFill="1" applyBorder="1" applyAlignment="1">
      <alignment vertical="center" wrapText="1"/>
    </xf>
    <xf numFmtId="167" fontId="5" fillId="0" borderId="0" xfId="69" applyNumberFormat="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168" fontId="12" fillId="33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167" fontId="27" fillId="0" borderId="49" xfId="0" applyNumberFormat="1" applyFont="1" applyFill="1" applyBorder="1" applyAlignment="1">
      <alignment wrapText="1"/>
    </xf>
    <xf numFmtId="167" fontId="10" fillId="0" borderId="49" xfId="0" applyNumberFormat="1" applyFont="1" applyFill="1" applyBorder="1" applyAlignment="1">
      <alignment wrapText="1"/>
    </xf>
    <xf numFmtId="165" fontId="27" fillId="0" borderId="49" xfId="64" applyNumberFormat="1" applyFont="1" applyFill="1" applyBorder="1" applyAlignment="1">
      <alignment vertical="center" wrapText="1"/>
    </xf>
    <xf numFmtId="165" fontId="54" fillId="0" borderId="49" xfId="64" applyNumberFormat="1" applyFont="1" applyFill="1" applyBorder="1" applyAlignment="1">
      <alignment/>
    </xf>
    <xf numFmtId="167" fontId="27" fillId="0" borderId="50" xfId="0" applyNumberFormat="1" applyFont="1" applyFill="1" applyBorder="1" applyAlignment="1">
      <alignment wrapText="1"/>
    </xf>
    <xf numFmtId="0" fontId="0" fillId="0" borderId="44" xfId="0" applyFill="1" applyBorder="1" applyAlignment="1">
      <alignment/>
    </xf>
    <xf numFmtId="169" fontId="4" fillId="0" borderId="0" xfId="0" applyNumberFormat="1" applyFont="1" applyFill="1" applyAlignment="1">
      <alignment vertical="center"/>
    </xf>
    <xf numFmtId="0" fontId="2" fillId="0" borderId="16" xfId="0" applyFont="1" applyBorder="1" applyAlignment="1">
      <alignment vertical="center" wrapText="1"/>
    </xf>
    <xf numFmtId="169" fontId="82" fillId="0" borderId="0" xfId="0" applyNumberFormat="1" applyFont="1" applyAlignment="1">
      <alignment/>
    </xf>
    <xf numFmtId="0" fontId="2" fillId="0" borderId="14" xfId="0" applyFont="1" applyFill="1" applyBorder="1" applyAlignment="1">
      <alignment wrapText="1"/>
    </xf>
    <xf numFmtId="166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2" fillId="0" borderId="0" xfId="0" applyFont="1" applyFill="1" applyAlignment="1">
      <alignment/>
    </xf>
    <xf numFmtId="168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7" fontId="18" fillId="0" borderId="28" xfId="0" applyNumberFormat="1" applyFont="1" applyFill="1" applyBorder="1" applyAlignment="1">
      <alignment horizontal="right" vertical="top"/>
    </xf>
    <xf numFmtId="0" fontId="4" fillId="0" borderId="51" xfId="0" applyFont="1" applyFill="1" applyBorder="1" applyAlignment="1">
      <alignment wrapText="1"/>
    </xf>
    <xf numFmtId="167" fontId="4" fillId="0" borderId="52" xfId="0" applyNumberFormat="1" applyFont="1" applyFill="1" applyBorder="1" applyAlignment="1">
      <alignment wrapText="1"/>
    </xf>
    <xf numFmtId="167" fontId="4" fillId="0" borderId="51" xfId="0" applyNumberFormat="1" applyFont="1" applyFill="1" applyBorder="1" applyAlignment="1">
      <alignment wrapText="1"/>
    </xf>
    <xf numFmtId="167" fontId="9" fillId="0" borderId="17" xfId="64" applyNumberFormat="1" applyFont="1" applyFill="1" applyBorder="1" applyAlignment="1">
      <alignment vertical="center" wrapText="1"/>
    </xf>
    <xf numFmtId="167" fontId="5" fillId="0" borderId="0" xfId="64" applyNumberFormat="1" applyFont="1" applyFill="1" applyBorder="1" applyAlignment="1">
      <alignment vertical="center" wrapText="1"/>
    </xf>
    <xf numFmtId="167" fontId="5" fillId="0" borderId="51" xfId="64" applyNumberFormat="1" applyFont="1" applyFill="1" applyBorder="1" applyAlignment="1">
      <alignment vertical="center" wrapText="1"/>
    </xf>
    <xf numFmtId="0" fontId="4" fillId="0" borderId="51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67" fontId="2" fillId="0" borderId="53" xfId="0" applyNumberFormat="1" applyFont="1" applyFill="1" applyBorder="1" applyAlignment="1">
      <alignment horizontal="center" wrapText="1"/>
    </xf>
    <xf numFmtId="167" fontId="2" fillId="0" borderId="54" xfId="64" applyNumberFormat="1" applyFont="1" applyFill="1" applyBorder="1" applyAlignment="1">
      <alignment horizontal="center" vertical="center"/>
    </xf>
    <xf numFmtId="167" fontId="2" fillId="0" borderId="54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right" wrapText="1"/>
    </xf>
    <xf numFmtId="167" fontId="9" fillId="0" borderId="0" xfId="69" applyNumberFormat="1" applyFont="1" applyFill="1" applyBorder="1" applyAlignment="1">
      <alignment vertical="center" wrapText="1"/>
    </xf>
    <xf numFmtId="167" fontId="9" fillId="0" borderId="55" xfId="67" applyNumberFormat="1" applyFont="1" applyFill="1" applyBorder="1" applyAlignment="1">
      <alignment horizontal="right" vertical="center" wrapText="1"/>
    </xf>
    <xf numFmtId="167" fontId="5" fillId="0" borderId="39" xfId="64" applyNumberFormat="1" applyFont="1" applyFill="1" applyBorder="1" applyAlignment="1">
      <alignment vertical="center" wrapText="1"/>
    </xf>
    <xf numFmtId="167" fontId="5" fillId="0" borderId="14" xfId="64" applyNumberFormat="1" applyFont="1" applyFill="1" applyBorder="1" applyAlignment="1">
      <alignment vertical="center" wrapText="1"/>
    </xf>
    <xf numFmtId="167" fontId="5" fillId="0" borderId="18" xfId="64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wrapText="1"/>
    </xf>
    <xf numFmtId="167" fontId="4" fillId="0" borderId="15" xfId="0" applyNumberFormat="1" applyFont="1" applyFill="1" applyBorder="1" applyAlignment="1">
      <alignment wrapText="1"/>
    </xf>
    <xf numFmtId="167" fontId="4" fillId="0" borderId="13" xfId="0" applyNumberFormat="1" applyFont="1" applyFill="1" applyBorder="1" applyAlignment="1">
      <alignment wrapText="1"/>
    </xf>
    <xf numFmtId="167" fontId="4" fillId="0" borderId="18" xfId="0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167" fontId="9" fillId="0" borderId="15" xfId="67" applyNumberFormat="1" applyFont="1" applyFill="1" applyBorder="1" applyAlignment="1">
      <alignment horizontal="right" vertical="center" wrapText="1"/>
    </xf>
    <xf numFmtId="167" fontId="9" fillId="0" borderId="54" xfId="64" applyNumberFormat="1" applyFont="1" applyFill="1" applyBorder="1" applyAlignment="1">
      <alignment vertical="center" wrapText="1"/>
    </xf>
    <xf numFmtId="167" fontId="9" fillId="0" borderId="18" xfId="67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167" fontId="9" fillId="0" borderId="43" xfId="69" applyNumberFormat="1" applyFont="1" applyFill="1" applyBorder="1" applyAlignment="1">
      <alignment vertical="center" wrapText="1"/>
    </xf>
    <xf numFmtId="167" fontId="9" fillId="0" borderId="15" xfId="69" applyNumberFormat="1" applyFont="1" applyFill="1" applyBorder="1" applyAlignment="1">
      <alignment vertical="center" wrapText="1"/>
    </xf>
    <xf numFmtId="166" fontId="2" fillId="0" borderId="14" xfId="67" applyNumberFormat="1" applyFont="1" applyFill="1" applyBorder="1" applyAlignment="1">
      <alignment horizontal="right" vertical="center"/>
    </xf>
    <xf numFmtId="167" fontId="9" fillId="0" borderId="56" xfId="69" applyNumberFormat="1" applyFont="1" applyFill="1" applyBorder="1" applyAlignment="1">
      <alignment vertical="center" wrapText="1"/>
    </xf>
    <xf numFmtId="167" fontId="9" fillId="0" borderId="14" xfId="67" applyNumberFormat="1" applyFont="1" applyFill="1" applyBorder="1" applyAlignment="1">
      <alignment horizontal="right" vertical="center" wrapText="1"/>
    </xf>
    <xf numFmtId="167" fontId="2" fillId="0" borderId="14" xfId="0" applyNumberFormat="1" applyFont="1" applyFill="1" applyBorder="1" applyAlignment="1">
      <alignment wrapText="1"/>
    </xf>
    <xf numFmtId="167" fontId="2" fillId="0" borderId="18" xfId="0" applyNumberFormat="1" applyFont="1" applyFill="1" applyBorder="1" applyAlignment="1">
      <alignment wrapText="1"/>
    </xf>
    <xf numFmtId="49" fontId="2" fillId="0" borderId="14" xfId="0" applyNumberFormat="1" applyFont="1" applyBorder="1" applyAlignment="1">
      <alignment horizontal="left" wrapText="1"/>
    </xf>
    <xf numFmtId="0" fontId="18" fillId="0" borderId="22" xfId="0" applyFont="1" applyFill="1" applyBorder="1" applyAlignment="1">
      <alignment/>
    </xf>
    <xf numFmtId="169" fontId="18" fillId="0" borderId="0" xfId="54" applyNumberFormat="1" applyFont="1" applyFill="1" applyAlignment="1">
      <alignment horizontal="left" vertical="top" wrapText="1"/>
      <protection/>
    </xf>
    <xf numFmtId="169" fontId="18" fillId="0" borderId="0" xfId="54" applyNumberFormat="1" applyFont="1" applyFill="1" applyAlignment="1">
      <alignment horizontal="center" vertical="center" wrapText="1"/>
      <protection/>
    </xf>
    <xf numFmtId="0" fontId="26" fillId="0" borderId="0" xfId="0" applyFont="1" applyFill="1" applyAlignment="1">
      <alignment vertical="top"/>
    </xf>
    <xf numFmtId="169" fontId="18" fillId="0" borderId="25" xfId="54" applyNumberFormat="1" applyFont="1" applyFill="1" applyBorder="1" applyAlignment="1">
      <alignment horizontal="left" vertical="top" wrapText="1"/>
      <protection/>
    </xf>
    <xf numFmtId="169" fontId="21" fillId="0" borderId="57" xfId="56" applyNumberFormat="1" applyFont="1" applyFill="1" applyBorder="1" applyAlignment="1">
      <alignment horizontal="center" vertical="center" wrapText="1"/>
      <protection/>
    </xf>
    <xf numFmtId="169" fontId="21" fillId="0" borderId="27" xfId="56" applyNumberFormat="1" applyFont="1" applyFill="1" applyBorder="1" applyAlignment="1">
      <alignment horizontal="center" vertical="center" wrapText="1"/>
      <protection/>
    </xf>
    <xf numFmtId="49" fontId="18" fillId="0" borderId="40" xfId="54" applyNumberFormat="1" applyFont="1" applyFill="1" applyBorder="1" applyAlignment="1">
      <alignment horizontal="center" vertical="center"/>
      <protection/>
    </xf>
    <xf numFmtId="49" fontId="18" fillId="0" borderId="38" xfId="54" applyNumberFormat="1" applyFont="1" applyFill="1" applyBorder="1" applyAlignment="1" applyProtection="1">
      <alignment horizontal="center" vertical="center"/>
      <protection locked="0"/>
    </xf>
    <xf numFmtId="49" fontId="18" fillId="0" borderId="41" xfId="54" applyNumberFormat="1" applyFont="1" applyFill="1" applyBorder="1" applyAlignment="1">
      <alignment horizontal="center" vertical="center"/>
      <protection/>
    </xf>
    <xf numFmtId="169" fontId="21" fillId="0" borderId="58" xfId="0" applyNumberFormat="1" applyFont="1" applyFill="1" applyBorder="1" applyAlignment="1">
      <alignment horizontal="right" vertical="top"/>
    </xf>
    <xf numFmtId="169" fontId="21" fillId="0" borderId="59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Alignment="1">
      <alignment horizontal="left" vertical="top"/>
    </xf>
    <xf numFmtId="169" fontId="4" fillId="0" borderId="0" xfId="0" applyNumberFormat="1" applyFont="1" applyFill="1" applyAlignment="1">
      <alignment vertical="center" wrapText="1"/>
    </xf>
    <xf numFmtId="169" fontId="18" fillId="0" borderId="0" xfId="0" applyNumberFormat="1" applyFont="1" applyFill="1" applyAlignment="1">
      <alignment horizontal="left" vertical="top" wrapText="1"/>
    </xf>
    <xf numFmtId="169" fontId="18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/>
    </xf>
    <xf numFmtId="169" fontId="26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169" fontId="26" fillId="0" borderId="0" xfId="0" applyNumberFormat="1" applyFont="1" applyFill="1" applyAlignment="1">
      <alignment horizontal="left" vertical="top" wrapText="1"/>
    </xf>
    <xf numFmtId="169" fontId="83" fillId="0" borderId="0" xfId="0" applyNumberFormat="1" applyFont="1" applyAlignment="1">
      <alignment/>
    </xf>
    <xf numFmtId="49" fontId="82" fillId="0" borderId="0" xfId="0" applyNumberFormat="1" applyFont="1" applyAlignment="1">
      <alignment horizontal="center" vertical="center"/>
    </xf>
    <xf numFmtId="169" fontId="82" fillId="0" borderId="0" xfId="0" applyNumberFormat="1" applyFont="1" applyFill="1" applyAlignment="1">
      <alignment/>
    </xf>
    <xf numFmtId="0" fontId="84" fillId="0" borderId="0" xfId="0" applyFont="1" applyFill="1" applyBorder="1" applyAlignment="1">
      <alignment wrapText="1"/>
    </xf>
    <xf numFmtId="169" fontId="85" fillId="0" borderId="0" xfId="0" applyNumberFormat="1" applyFont="1" applyFill="1" applyBorder="1" applyAlignment="1">
      <alignment horizontal="right" vertical="top"/>
    </xf>
    <xf numFmtId="0" fontId="2" fillId="0" borderId="0" xfId="53" applyFont="1" applyFill="1" applyBorder="1" applyAlignment="1">
      <alignment/>
      <protection/>
    </xf>
    <xf numFmtId="3" fontId="2" fillId="0" borderId="19" xfId="0" applyNumberFormat="1" applyFont="1" applyFill="1" applyBorder="1" applyAlignment="1">
      <alignment horizontal="right" wrapText="1" indent="1"/>
    </xf>
    <xf numFmtId="3" fontId="2" fillId="0" borderId="14" xfId="0" applyNumberFormat="1" applyFont="1" applyFill="1" applyBorder="1" applyAlignment="1">
      <alignment horizontal="right" wrapText="1" indent="1"/>
    </xf>
    <xf numFmtId="3" fontId="2" fillId="0" borderId="42" xfId="0" applyNumberFormat="1" applyFont="1" applyFill="1" applyBorder="1" applyAlignment="1">
      <alignment horizontal="right" wrapText="1" indent="1"/>
    </xf>
    <xf numFmtId="3" fontId="2" fillId="0" borderId="17" xfId="0" applyNumberFormat="1" applyFont="1" applyFill="1" applyBorder="1" applyAlignment="1">
      <alignment horizontal="right" wrapText="1" indent="1"/>
    </xf>
    <xf numFmtId="3" fontId="2" fillId="0" borderId="18" xfId="0" applyNumberFormat="1" applyFont="1" applyFill="1" applyBorder="1" applyAlignment="1">
      <alignment horizontal="right" wrapText="1" indent="1"/>
    </xf>
    <xf numFmtId="3" fontId="4" fillId="0" borderId="12" xfId="0" applyNumberFormat="1" applyFont="1" applyFill="1" applyBorder="1" applyAlignment="1">
      <alignment horizontal="right" wrapText="1" indent="1"/>
    </xf>
    <xf numFmtId="3" fontId="2" fillId="0" borderId="17" xfId="0" applyNumberFormat="1" applyFont="1" applyFill="1" applyBorder="1" applyAlignment="1">
      <alignment horizontal="right" vertical="center" wrapText="1" indent="1"/>
    </xf>
    <xf numFmtId="0" fontId="81" fillId="0" borderId="0" xfId="0" applyFont="1" applyFill="1" applyAlignment="1">
      <alignment horizontal="right"/>
    </xf>
    <xf numFmtId="3" fontId="86" fillId="0" borderId="0" xfId="0" applyNumberFormat="1" applyFont="1" applyFill="1" applyAlignment="1">
      <alignment horizontal="right"/>
    </xf>
    <xf numFmtId="169" fontId="84" fillId="0" borderId="0" xfId="54" applyNumberFormat="1" applyFont="1" applyFill="1" applyAlignment="1">
      <alignment horizontal="right" vertical="top"/>
      <protection/>
    </xf>
    <xf numFmtId="167" fontId="2" fillId="0" borderId="17" xfId="0" applyNumberFormat="1" applyFont="1" applyFill="1" applyBorder="1" applyAlignment="1">
      <alignment horizontal="right" wrapText="1" inden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9" fontId="18" fillId="0" borderId="0" xfId="54" applyNumberFormat="1" applyFont="1" applyAlignment="1">
      <alignment horizontal="left" vertical="top" wrapText="1"/>
      <protection/>
    </xf>
    <xf numFmtId="169" fontId="21" fillId="0" borderId="0" xfId="55" applyNumberFormat="1" applyFont="1" applyFill="1" applyAlignment="1">
      <alignment horizontal="center" vertical="top" wrapText="1"/>
      <protection/>
    </xf>
    <xf numFmtId="169" fontId="18" fillId="0" borderId="0" xfId="54" applyNumberFormat="1" applyFont="1" applyFill="1" applyAlignment="1">
      <alignment horizontal="left" vertical="top" wrapText="1"/>
      <protection/>
    </xf>
    <xf numFmtId="169" fontId="21" fillId="0" borderId="0" xfId="54" applyNumberFormat="1" applyFont="1" applyFill="1" applyAlignment="1">
      <alignment horizontal="center" vertical="top" wrapText="1"/>
      <protection/>
    </xf>
    <xf numFmtId="169" fontId="21" fillId="0" borderId="0" xfId="55" applyNumberFormat="1" applyFont="1" applyFill="1" applyAlignment="1">
      <alignment horizontal="center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God_Формы фин.отчетности_BWU_09_11_03" xfId="54"/>
    <cellStyle name="Обычный_Лист1 2" xfId="55"/>
    <cellStyle name="Обычный_Формы ФО для НПФ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2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  <row r="50">
          <cell r="B50">
            <v>8189</v>
          </cell>
        </row>
      </sheetData>
      <sheetData sheetId="1">
        <row r="83"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75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92.140625" style="2" customWidth="1"/>
    <col min="2" max="2" width="23.8515625" style="28" customWidth="1"/>
    <col min="3" max="3" width="22.7109375" style="1" customWidth="1"/>
    <col min="4" max="4" width="18.7109375" style="2" hidden="1" customWidth="1"/>
    <col min="5" max="5" width="19.57421875" style="2" customWidth="1"/>
    <col min="6" max="6" width="21.00390625" style="1" customWidth="1"/>
    <col min="7" max="7" width="9.140625" style="2" customWidth="1"/>
    <col min="8" max="8" width="12.140625" style="2" bestFit="1" customWidth="1"/>
    <col min="9" max="16384" width="9.140625" style="2" customWidth="1"/>
  </cols>
  <sheetData>
    <row r="1" spans="1:3" ht="18.75">
      <c r="A1" s="92" t="s">
        <v>109</v>
      </c>
      <c r="B1" s="93" t="s">
        <v>129</v>
      </c>
      <c r="C1" s="282" t="s">
        <v>196</v>
      </c>
    </row>
    <row r="2" ht="18.75">
      <c r="A2" s="94" t="s">
        <v>110</v>
      </c>
    </row>
    <row r="3" ht="18.75">
      <c r="A3" s="94" t="s">
        <v>111</v>
      </c>
    </row>
    <row r="4" ht="18.75">
      <c r="A4" s="94" t="s">
        <v>112</v>
      </c>
    </row>
    <row r="5" ht="18.75" customHeight="1">
      <c r="A5" s="95" t="s">
        <v>113</v>
      </c>
    </row>
    <row r="7" spans="1:3" ht="18.75">
      <c r="A7" s="286" t="s">
        <v>0</v>
      </c>
      <c r="B7" s="286"/>
      <c r="C7" s="286"/>
    </row>
    <row r="8" spans="1:3" ht="18.75">
      <c r="A8" s="286" t="s">
        <v>1</v>
      </c>
      <c r="B8" s="286"/>
      <c r="C8" s="286"/>
    </row>
    <row r="9" spans="1:3" ht="18.75">
      <c r="A9" s="286" t="s">
        <v>2</v>
      </c>
      <c r="B9" s="286"/>
      <c r="C9" s="286"/>
    </row>
    <row r="10" spans="1:3" ht="18.75">
      <c r="A10" s="286" t="s">
        <v>163</v>
      </c>
      <c r="B10" s="286"/>
      <c r="C10" s="286"/>
    </row>
    <row r="11" ht="19.5" thickBot="1">
      <c r="C11" s="183" t="s">
        <v>73</v>
      </c>
    </row>
    <row r="12" spans="1:3" ht="18.75" customHeight="1" thickBot="1">
      <c r="A12" s="3"/>
      <c r="B12" s="4" t="s">
        <v>165</v>
      </c>
      <c r="C12" s="5" t="s">
        <v>184</v>
      </c>
    </row>
    <row r="13" spans="1:3" ht="18.75">
      <c r="A13" s="6" t="s">
        <v>4</v>
      </c>
      <c r="B13" s="190"/>
      <c r="C13" s="233"/>
    </row>
    <row r="14" spans="1:3" s="1" customFormat="1" ht="18.75">
      <c r="A14" s="194" t="s">
        <v>5</v>
      </c>
      <c r="B14" s="275">
        <v>326959407</v>
      </c>
      <c r="C14" s="276">
        <v>185753592</v>
      </c>
    </row>
    <row r="15" spans="1:4" s="1" customFormat="1" ht="18.75">
      <c r="A15" s="194" t="s">
        <v>6</v>
      </c>
      <c r="B15" s="275">
        <v>12213940</v>
      </c>
      <c r="C15" s="276">
        <v>16746306</v>
      </c>
      <c r="D15" s="195">
        <f>C15-B15</f>
        <v>4532366</v>
      </c>
    </row>
    <row r="16" spans="1:3" s="1" customFormat="1" ht="37.5">
      <c r="A16" s="194" t="s">
        <v>130</v>
      </c>
      <c r="B16" s="275"/>
      <c r="C16" s="276"/>
    </row>
    <row r="17" spans="1:4" s="1" customFormat="1" ht="18.75">
      <c r="A17" s="196" t="s">
        <v>7</v>
      </c>
      <c r="B17" s="275">
        <v>42124555</v>
      </c>
      <c r="C17" s="276">
        <v>56048203</v>
      </c>
      <c r="D17" s="195">
        <f>C17-B17</f>
        <v>13923648</v>
      </c>
    </row>
    <row r="18" spans="1:4" s="1" customFormat="1" ht="18.75">
      <c r="A18" s="196" t="s">
        <v>131</v>
      </c>
      <c r="B18" s="277">
        <v>0</v>
      </c>
      <c r="C18" s="278">
        <v>0</v>
      </c>
      <c r="D18" s="28"/>
    </row>
    <row r="19" spans="1:9" s="1" customFormat="1" ht="18.75">
      <c r="A19" s="194" t="s">
        <v>8</v>
      </c>
      <c r="B19" s="275"/>
      <c r="C19" s="276"/>
      <c r="D19" s="28"/>
      <c r="E19" s="28"/>
      <c r="F19" s="28"/>
      <c r="G19" s="28"/>
      <c r="H19" s="28"/>
      <c r="I19" s="28"/>
    </row>
    <row r="20" spans="1:9" s="1" customFormat="1" ht="18.75">
      <c r="A20" s="196" t="s">
        <v>7</v>
      </c>
      <c r="B20" s="275">
        <v>3570671</v>
      </c>
      <c r="C20" s="276">
        <v>6407744</v>
      </c>
      <c r="D20" s="195">
        <f>C20-B20</f>
        <v>2837073</v>
      </c>
      <c r="E20" s="28"/>
      <c r="F20" s="28"/>
      <c r="G20" s="28"/>
      <c r="H20" s="28"/>
      <c r="I20" s="28"/>
    </row>
    <row r="21" spans="1:9" s="1" customFormat="1" ht="18.75">
      <c r="A21" s="196" t="s">
        <v>131</v>
      </c>
      <c r="B21" s="277">
        <v>2704073</v>
      </c>
      <c r="C21" s="278">
        <v>0</v>
      </c>
      <c r="D21" s="28"/>
      <c r="E21" s="28"/>
      <c r="F21" s="205"/>
      <c r="G21" s="28"/>
      <c r="H21" s="28"/>
      <c r="I21" s="28"/>
    </row>
    <row r="22" spans="1:9" s="1" customFormat="1" ht="18.75">
      <c r="A22" s="194" t="s">
        <v>9</v>
      </c>
      <c r="B22" s="275">
        <v>1626009390</v>
      </c>
      <c r="C22" s="276">
        <v>1589510318</v>
      </c>
      <c r="D22" s="195">
        <f>C22-B22</f>
        <v>-36499072</v>
      </c>
      <c r="E22" s="28"/>
      <c r="F22" s="28"/>
      <c r="G22" s="28"/>
      <c r="H22" s="28"/>
      <c r="I22" s="28"/>
    </row>
    <row r="23" spans="1:9" s="1" customFormat="1" ht="18.75">
      <c r="A23" s="194" t="s">
        <v>10</v>
      </c>
      <c r="B23" s="275"/>
      <c r="C23" s="278"/>
      <c r="D23" s="28"/>
      <c r="E23" s="28"/>
      <c r="F23" s="28"/>
      <c r="G23" s="28"/>
      <c r="H23" s="28"/>
      <c r="I23" s="28"/>
    </row>
    <row r="24" spans="1:9" s="1" customFormat="1" ht="18.75">
      <c r="A24" s="196" t="s">
        <v>7</v>
      </c>
      <c r="B24" s="275">
        <v>2248010</v>
      </c>
      <c r="C24" s="276">
        <v>24655195</v>
      </c>
      <c r="D24" s="195">
        <f>C24-B24</f>
        <v>22407185</v>
      </c>
      <c r="E24" s="28"/>
      <c r="F24" s="28"/>
      <c r="G24" s="28"/>
      <c r="H24" s="28"/>
      <c r="I24" s="28"/>
    </row>
    <row r="25" spans="1:9" s="1" customFormat="1" ht="18.75">
      <c r="A25" s="196" t="s">
        <v>131</v>
      </c>
      <c r="B25" s="277">
        <v>20441052</v>
      </c>
      <c r="C25" s="278">
        <v>0</v>
      </c>
      <c r="D25" s="28"/>
      <c r="E25" s="28"/>
      <c r="F25" s="205"/>
      <c r="G25" s="28"/>
      <c r="H25" s="28"/>
      <c r="I25" s="28"/>
    </row>
    <row r="26" spans="1:9" s="1" customFormat="1" ht="18.75">
      <c r="A26" s="196" t="s">
        <v>87</v>
      </c>
      <c r="B26" s="277">
        <v>6324055</v>
      </c>
      <c r="C26" s="276">
        <v>30000</v>
      </c>
      <c r="D26" s="195">
        <f>C26-B26</f>
        <v>-6294055</v>
      </c>
      <c r="E26" s="28"/>
      <c r="F26" s="28"/>
      <c r="G26" s="28"/>
      <c r="H26" s="28"/>
      <c r="I26" s="28"/>
    </row>
    <row r="27" spans="1:3" s="1" customFormat="1" ht="18.75">
      <c r="A27" s="194" t="s">
        <v>11</v>
      </c>
      <c r="B27" s="275">
        <v>44666903</v>
      </c>
      <c r="C27" s="276">
        <v>44314124</v>
      </c>
    </row>
    <row r="28" spans="1:3" s="1" customFormat="1" ht="18.75">
      <c r="A28" s="194" t="s">
        <v>12</v>
      </c>
      <c r="B28" s="277">
        <v>4503262</v>
      </c>
      <c r="C28" s="278">
        <v>4175900</v>
      </c>
    </row>
    <row r="29" spans="1:4" s="1" customFormat="1" ht="18.75">
      <c r="A29" s="197" t="s">
        <v>115</v>
      </c>
      <c r="B29" s="275">
        <v>1870837</v>
      </c>
      <c r="C29" s="278">
        <v>2169100</v>
      </c>
      <c r="D29" s="195">
        <f>C29-B29</f>
        <v>298263</v>
      </c>
    </row>
    <row r="30" spans="1:3" s="1" customFormat="1" ht="18.75">
      <c r="A30" s="194" t="s">
        <v>114</v>
      </c>
      <c r="B30" s="277">
        <v>5038501</v>
      </c>
      <c r="C30" s="278">
        <v>3732022</v>
      </c>
    </row>
    <row r="31" spans="1:4" s="1" customFormat="1" ht="18.75">
      <c r="A31" s="194" t="s">
        <v>13</v>
      </c>
      <c r="B31" s="275">
        <v>1481675</v>
      </c>
      <c r="C31" s="276">
        <v>3428720</v>
      </c>
      <c r="D31" s="28"/>
    </row>
    <row r="32" spans="1:3" s="1" customFormat="1" ht="18.75">
      <c r="A32" s="194" t="s">
        <v>146</v>
      </c>
      <c r="B32" s="275">
        <v>432521</v>
      </c>
      <c r="C32" s="276">
        <v>484829</v>
      </c>
    </row>
    <row r="33" spans="1:4" s="1" customFormat="1" ht="19.5" thickBot="1">
      <c r="A33" s="198" t="s">
        <v>14</v>
      </c>
      <c r="B33" s="275">
        <v>19386985</v>
      </c>
      <c r="C33" s="279">
        <v>19137281</v>
      </c>
      <c r="D33" s="195">
        <f>C33-B33</f>
        <v>-249704</v>
      </c>
    </row>
    <row r="34" spans="1:3" s="1" customFormat="1" ht="19.5" thickBot="1">
      <c r="A34" s="199" t="s">
        <v>132</v>
      </c>
      <c r="B34" s="280">
        <f>SUM(B14:B33)</f>
        <v>2119975837</v>
      </c>
      <c r="C34" s="280">
        <f>SUM(C14:C33)</f>
        <v>1956593334</v>
      </c>
    </row>
    <row r="35" spans="1:3" ht="19.5" thickBot="1">
      <c r="A35" s="11" t="s">
        <v>15</v>
      </c>
      <c r="B35" s="96"/>
      <c r="C35" s="96"/>
    </row>
    <row r="36" spans="1:4" ht="18.75">
      <c r="A36" s="97" t="s">
        <v>116</v>
      </c>
      <c r="B36" s="276">
        <v>38122631</v>
      </c>
      <c r="C36" s="278">
        <v>32364715</v>
      </c>
      <c r="D36" s="116">
        <f>B36-C36</f>
        <v>5757916</v>
      </c>
    </row>
    <row r="37" spans="1:4" ht="18.75">
      <c r="A37" s="7" t="s">
        <v>16</v>
      </c>
      <c r="B37" s="276">
        <v>194988626</v>
      </c>
      <c r="C37" s="276">
        <v>213957693</v>
      </c>
      <c r="D37" s="116">
        <f aca="true" t="shared" si="0" ref="D37:D46">B37-C37</f>
        <v>-18969067</v>
      </c>
    </row>
    <row r="38" spans="1:4" ht="37.5">
      <c r="A38" s="7" t="s">
        <v>130</v>
      </c>
      <c r="B38" s="276">
        <v>16882750</v>
      </c>
      <c r="C38" s="281">
        <v>16289988</v>
      </c>
      <c r="D38" s="116">
        <f t="shared" si="0"/>
        <v>592762</v>
      </c>
    </row>
    <row r="39" spans="1:4" ht="18.75">
      <c r="A39" s="7" t="s">
        <v>17</v>
      </c>
      <c r="B39" s="276">
        <v>1582020308</v>
      </c>
      <c r="C39" s="276">
        <v>1441771210</v>
      </c>
      <c r="D39" s="116">
        <f t="shared" si="0"/>
        <v>140249098</v>
      </c>
    </row>
    <row r="40" spans="1:4" ht="18.75">
      <c r="A40" s="7" t="s">
        <v>29</v>
      </c>
      <c r="B40" s="276">
        <v>45579816</v>
      </c>
      <c r="C40" s="276">
        <v>44712844</v>
      </c>
      <c r="D40" s="116">
        <f t="shared" si="0"/>
        <v>866972</v>
      </c>
    </row>
    <row r="41" spans="1:4" ht="18.75">
      <c r="A41" s="7" t="s">
        <v>18</v>
      </c>
      <c r="B41" s="276">
        <f>59338481-2500000-250000-62500+14369+114955</f>
        <v>56655305</v>
      </c>
      <c r="C41" s="276">
        <f>58725364-2500000+123309-250000+12331</f>
        <v>56111004</v>
      </c>
      <c r="D41" s="116">
        <f t="shared" si="0"/>
        <v>544301</v>
      </c>
    </row>
    <row r="42" spans="1:4" ht="18.75">
      <c r="A42" s="88" t="s">
        <v>166</v>
      </c>
      <c r="B42" s="278">
        <v>19808142</v>
      </c>
      <c r="C42" s="278">
        <v>0</v>
      </c>
      <c r="D42" s="116"/>
    </row>
    <row r="43" spans="1:4" ht="18.75">
      <c r="A43" s="88" t="s">
        <v>133</v>
      </c>
      <c r="B43" s="278">
        <v>5450647</v>
      </c>
      <c r="C43" s="278">
        <v>5864471</v>
      </c>
      <c r="D43" s="116">
        <f t="shared" si="0"/>
        <v>-413824</v>
      </c>
    </row>
    <row r="44" spans="1:4" ht="18.75">
      <c r="A44" s="98" t="s">
        <v>147</v>
      </c>
      <c r="B44" s="278">
        <v>7515149</v>
      </c>
      <c r="C44" s="278">
        <v>8889801</v>
      </c>
      <c r="D44" s="116">
        <f t="shared" si="0"/>
        <v>-1374652</v>
      </c>
    </row>
    <row r="45" spans="1:4" ht="18.75">
      <c r="A45" s="88" t="s">
        <v>74</v>
      </c>
      <c r="B45" s="278">
        <v>378509</v>
      </c>
      <c r="C45" s="278">
        <v>585840</v>
      </c>
      <c r="D45" s="116">
        <f t="shared" si="0"/>
        <v>-207331</v>
      </c>
    </row>
    <row r="46" spans="1:4" ht="18.75" customHeight="1" thickBot="1">
      <c r="A46" s="99" t="s">
        <v>19</v>
      </c>
      <c r="B46" s="276">
        <f>9222405+250000+62500-14369</f>
        <v>9520536</v>
      </c>
      <c r="C46" s="276">
        <f>7914628+250000-12331</f>
        <v>8152297</v>
      </c>
      <c r="D46" s="116">
        <f t="shared" si="0"/>
        <v>1368239</v>
      </c>
    </row>
    <row r="47" spans="1:3" ht="18.75" customHeight="1" thickBot="1">
      <c r="A47" s="11" t="s">
        <v>134</v>
      </c>
      <c r="B47" s="280">
        <f>SUM(B36:B46)</f>
        <v>1976922419</v>
      </c>
      <c r="C47" s="280">
        <f>SUM(C36:C46)</f>
        <v>1828699863</v>
      </c>
    </row>
    <row r="48" spans="1:3" ht="18.75">
      <c r="A48" s="6" t="s">
        <v>20</v>
      </c>
      <c r="B48" s="9"/>
      <c r="C48" s="9"/>
    </row>
    <row r="49" spans="1:5" ht="18.75">
      <c r="A49" s="7" t="s">
        <v>21</v>
      </c>
      <c r="B49" s="276">
        <v>70981938</v>
      </c>
      <c r="C49" s="276">
        <f>58997847+2500000-123309</f>
        <v>61374538</v>
      </c>
      <c r="E49" s="10"/>
    </row>
    <row r="50" spans="1:5" ht="18.75">
      <c r="A50" s="7" t="s">
        <v>22</v>
      </c>
      <c r="B50" s="276">
        <v>209574</v>
      </c>
      <c r="C50" s="276">
        <v>44432</v>
      </c>
      <c r="E50" s="10"/>
    </row>
    <row r="51" spans="1:5" ht="36.75" customHeight="1">
      <c r="A51" s="7" t="s">
        <v>23</v>
      </c>
      <c r="B51" s="285">
        <v>-502335</v>
      </c>
      <c r="C51" s="285">
        <v>-390931</v>
      </c>
      <c r="E51" s="10"/>
    </row>
    <row r="52" spans="1:5" ht="19.5" customHeight="1">
      <c r="A52" s="7" t="s">
        <v>169</v>
      </c>
      <c r="B52" s="278">
        <v>785810</v>
      </c>
      <c r="C52" s="278">
        <v>0</v>
      </c>
      <c r="E52" s="10"/>
    </row>
    <row r="53" spans="1:5" ht="19.5" customHeight="1">
      <c r="A53" s="7" t="s">
        <v>81</v>
      </c>
      <c r="B53" s="276">
        <v>12241417</v>
      </c>
      <c r="C53" s="276">
        <v>11991541</v>
      </c>
      <c r="E53" s="10"/>
    </row>
    <row r="54" spans="1:5" ht="18.75">
      <c r="A54" s="7" t="s">
        <v>88</v>
      </c>
      <c r="B54" s="278">
        <v>16631209</v>
      </c>
      <c r="C54" s="278">
        <v>16631209</v>
      </c>
      <c r="E54" s="10"/>
    </row>
    <row r="55" spans="1:5" ht="19.5" thickBot="1">
      <c r="A55" s="7" t="s">
        <v>28</v>
      </c>
      <c r="B55" s="276">
        <v>41105451</v>
      </c>
      <c r="C55" s="276">
        <v>35404567</v>
      </c>
      <c r="E55" s="10"/>
    </row>
    <row r="56" spans="1:3" ht="19.5" thickBot="1">
      <c r="A56" s="11" t="s">
        <v>24</v>
      </c>
      <c r="B56" s="280">
        <f>SUM(B49:B55)</f>
        <v>141453064</v>
      </c>
      <c r="C56" s="280">
        <f>SUM(C49:C55)</f>
        <v>125055356</v>
      </c>
    </row>
    <row r="57" spans="1:3" ht="19.5" thickBot="1">
      <c r="A57" s="12" t="s">
        <v>25</v>
      </c>
      <c r="B57" s="278">
        <v>1600354</v>
      </c>
      <c r="C57" s="278">
        <v>2838115</v>
      </c>
    </row>
    <row r="58" spans="1:3" ht="19.5" thickBot="1">
      <c r="A58" s="11" t="s">
        <v>26</v>
      </c>
      <c r="B58" s="280">
        <f>B56+B57</f>
        <v>143053418</v>
      </c>
      <c r="C58" s="280">
        <f>C56+C57</f>
        <v>127893471</v>
      </c>
    </row>
    <row r="59" spans="1:3" ht="19.5" thickBot="1">
      <c r="A59" s="11" t="s">
        <v>27</v>
      </c>
      <c r="B59" s="280">
        <f>B58+B47</f>
        <v>2119975837</v>
      </c>
      <c r="C59" s="280">
        <f>C58+C47</f>
        <v>1956593334</v>
      </c>
    </row>
    <row r="60" spans="1:3" ht="18.75">
      <c r="A60" s="91"/>
      <c r="B60" s="177">
        <f>B34-B47-B58</f>
        <v>0</v>
      </c>
      <c r="C60" s="177"/>
    </row>
    <row r="61" spans="1:6" ht="18.75">
      <c r="A61" s="178" t="s">
        <v>192</v>
      </c>
      <c r="B61" s="177"/>
      <c r="C61" s="177"/>
      <c r="F61" s="195"/>
    </row>
    <row r="62" spans="1:6" ht="18.75">
      <c r="A62" s="178" t="s">
        <v>194</v>
      </c>
      <c r="B62" s="177"/>
      <c r="C62" s="177"/>
      <c r="F62" s="195"/>
    </row>
    <row r="63" spans="1:3" ht="18.75">
      <c r="A63" s="91"/>
      <c r="B63" s="177"/>
      <c r="C63" s="177"/>
    </row>
    <row r="64" ht="18.75">
      <c r="A64" s="2" t="s">
        <v>46</v>
      </c>
    </row>
    <row r="66" spans="1:2" ht="18.75">
      <c r="A66" s="100" t="s">
        <v>152</v>
      </c>
      <c r="B66" s="160" t="s">
        <v>193</v>
      </c>
    </row>
    <row r="67" spans="1:9" s="1" customFormat="1" ht="18.75">
      <c r="A67" s="67"/>
      <c r="B67" s="28"/>
      <c r="D67" s="2"/>
      <c r="E67" s="2"/>
      <c r="G67" s="2"/>
      <c r="H67" s="2"/>
      <c r="I67" s="2"/>
    </row>
    <row r="68" spans="1:9" s="1" customFormat="1" ht="18.75">
      <c r="A68" s="68"/>
      <c r="B68" s="28"/>
      <c r="D68" s="2"/>
      <c r="E68" s="2"/>
      <c r="G68" s="2"/>
      <c r="H68" s="2"/>
      <c r="I68" s="2"/>
    </row>
    <row r="69" spans="1:9" s="1" customFormat="1" ht="18.75">
      <c r="A69" s="69" t="s">
        <v>150</v>
      </c>
      <c r="B69" s="191" t="s">
        <v>151</v>
      </c>
      <c r="D69" s="2"/>
      <c r="E69" s="2"/>
      <c r="G69" s="2"/>
      <c r="H69" s="2"/>
      <c r="I69" s="2"/>
    </row>
    <row r="70" spans="1:9" s="1" customFormat="1" ht="20.25">
      <c r="A70" s="13"/>
      <c r="B70" s="28"/>
      <c r="D70" s="2"/>
      <c r="E70" s="2"/>
      <c r="G70" s="2"/>
      <c r="H70" s="2"/>
      <c r="I70" s="2"/>
    </row>
    <row r="71" spans="1:9" s="1" customFormat="1" ht="18.75">
      <c r="A71" s="14"/>
      <c r="B71" s="28"/>
      <c r="D71" s="2"/>
      <c r="E71" s="2"/>
      <c r="G71" s="2"/>
      <c r="H71" s="2"/>
      <c r="I71" s="2"/>
    </row>
    <row r="72" spans="1:9" s="1" customFormat="1" ht="18.75">
      <c r="A72" s="101" t="s">
        <v>117</v>
      </c>
      <c r="B72" s="28"/>
      <c r="D72" s="2"/>
      <c r="E72" s="2"/>
      <c r="G72" s="2"/>
      <c r="H72" s="2"/>
      <c r="I72" s="2"/>
    </row>
    <row r="73" spans="1:9" s="1" customFormat="1" ht="19.5">
      <c r="A73" s="102" t="s">
        <v>118</v>
      </c>
      <c r="B73" s="28"/>
      <c r="D73" s="2"/>
      <c r="E73" s="2"/>
      <c r="G73" s="2"/>
      <c r="H73" s="2"/>
      <c r="I73" s="2"/>
    </row>
    <row r="74" spans="1:9" s="1" customFormat="1" ht="18.75">
      <c r="A74" s="103" t="s">
        <v>119</v>
      </c>
      <c r="B74" s="28"/>
      <c r="D74" s="2"/>
      <c r="E74" s="2"/>
      <c r="G74" s="2"/>
      <c r="H74" s="2"/>
      <c r="I74" s="2"/>
    </row>
    <row r="75" spans="1:9" s="1" customFormat="1" ht="18.75">
      <c r="A75" s="15"/>
      <c r="B75" s="28"/>
      <c r="D75" s="2"/>
      <c r="E75" s="2"/>
      <c r="G75" s="2"/>
      <c r="H75" s="2"/>
      <c r="I75" s="2"/>
    </row>
  </sheetData>
  <sheetProtection/>
  <mergeCells count="4"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51" r:id="rId1"/>
  <rowBreaks count="1" manualBreakCount="1">
    <brk id="74" max="2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22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5"/>
  <cols>
    <col min="1" max="1" width="91.140625" style="108" customWidth="1"/>
    <col min="2" max="2" width="27.8515625" style="28" bestFit="1" customWidth="1"/>
    <col min="3" max="3" width="28.140625" style="28" customWidth="1"/>
    <col min="4" max="4" width="12.00390625" style="108" customWidth="1"/>
    <col min="5" max="5" width="19.7109375" style="108" hidden="1" customWidth="1"/>
    <col min="6" max="7" width="19.421875" style="109" bestFit="1" customWidth="1"/>
    <col min="8" max="9" width="9.140625" style="108" customWidth="1"/>
    <col min="10" max="10" width="13.421875" style="108" bestFit="1" customWidth="1"/>
    <col min="11" max="16384" width="9.140625" style="108" customWidth="1"/>
  </cols>
  <sheetData>
    <row r="1" spans="1:7" s="94" customFormat="1" ht="18.75">
      <c r="A1" s="92" t="str">
        <f>'[2]ф.1 конс.'!A1</f>
        <v>БИН                920140000084</v>
      </c>
      <c r="B1" s="28"/>
      <c r="C1" s="282" t="str">
        <f>'ф.1'!C1</f>
        <v>НБРК</v>
      </c>
      <c r="F1" s="104"/>
      <c r="G1" s="104"/>
    </row>
    <row r="2" spans="1:7" s="94" customFormat="1" ht="18.75">
      <c r="A2" s="94" t="str">
        <f>'[2]ф.1 конс.'!A2</f>
        <v>Код ОКПО             19924793</v>
      </c>
      <c r="B2" s="28"/>
      <c r="C2" s="28"/>
      <c r="F2" s="104"/>
      <c r="G2" s="104"/>
    </row>
    <row r="3" spans="1:7" s="94" customFormat="1" ht="18.75">
      <c r="A3" s="94" t="str">
        <f>'[2]ф.1 конс.'!A3</f>
        <v>БИК                   TSESKZKA</v>
      </c>
      <c r="B3" s="28"/>
      <c r="C3" s="28"/>
      <c r="F3" s="104"/>
      <c r="G3" s="104"/>
    </row>
    <row r="4" spans="1:7" s="94" customFormat="1" ht="18.75">
      <c r="A4" s="94" t="str">
        <f>'[2]ф.1 конс.'!A4</f>
        <v>ИИК KZ48125KZT1001300336 в НБ РК</v>
      </c>
      <c r="B4" s="28"/>
      <c r="C4" s="28"/>
      <c r="F4" s="104"/>
      <c r="G4" s="104"/>
    </row>
    <row r="5" spans="1:7" s="94" customFormat="1" ht="18.75">
      <c r="A5" s="92" t="str">
        <f>'[2]ф.1 конс.'!A5</f>
        <v>Место нахождения головного банка: г.Астана, район Есиль, ул. Сығанақ, д. 24</v>
      </c>
      <c r="B5" s="28"/>
      <c r="C5" s="28"/>
      <c r="F5" s="104"/>
      <c r="G5" s="104"/>
    </row>
    <row r="6" spans="1:7" s="106" customFormat="1" ht="16.5">
      <c r="A6" s="105"/>
      <c r="B6" s="28"/>
      <c r="C6" s="28"/>
      <c r="F6" s="107"/>
      <c r="G6" s="107"/>
    </row>
    <row r="7" spans="1:7" s="106" customFormat="1" ht="19.5">
      <c r="A7" s="287" t="s">
        <v>30</v>
      </c>
      <c r="B7" s="287"/>
      <c r="C7" s="287"/>
      <c r="F7" s="107"/>
      <c r="G7" s="107"/>
    </row>
    <row r="8" spans="1:7" s="106" customFormat="1" ht="19.5">
      <c r="A8" s="287" t="s">
        <v>1</v>
      </c>
      <c r="B8" s="287"/>
      <c r="C8" s="287"/>
      <c r="F8" s="107"/>
      <c r="G8" s="107"/>
    </row>
    <row r="9" spans="1:7" s="106" customFormat="1" ht="19.5">
      <c r="A9" s="287" t="s">
        <v>2</v>
      </c>
      <c r="B9" s="287"/>
      <c r="C9" s="287"/>
      <c r="F9" s="107"/>
      <c r="G9" s="107"/>
    </row>
    <row r="10" spans="1:7" s="106" customFormat="1" ht="19.5">
      <c r="A10" s="287" t="s">
        <v>164</v>
      </c>
      <c r="B10" s="287"/>
      <c r="C10" s="287"/>
      <c r="F10" s="107"/>
      <c r="G10" s="107"/>
    </row>
    <row r="11" spans="1:3" ht="19.5" customHeight="1">
      <c r="A11" s="288"/>
      <c r="B11" s="288"/>
      <c r="C11" s="288"/>
    </row>
    <row r="12" spans="1:3" ht="17.25" thickBot="1">
      <c r="A12" s="110"/>
      <c r="B12" s="155"/>
      <c r="C12" s="183" t="s">
        <v>3</v>
      </c>
    </row>
    <row r="13" spans="1:10" s="2" customFormat="1" ht="24.75" customHeight="1" thickBot="1">
      <c r="A13" s="111"/>
      <c r="B13" s="156" t="s">
        <v>185</v>
      </c>
      <c r="C13" s="156" t="s">
        <v>186</v>
      </c>
      <c r="F13" s="112"/>
      <c r="G13" s="112"/>
      <c r="J13" s="113"/>
    </row>
    <row r="14" spans="1:7" s="2" customFormat="1" ht="18.75">
      <c r="A14" s="114"/>
      <c r="B14" s="157"/>
      <c r="C14" s="158"/>
      <c r="F14" s="112"/>
      <c r="G14" s="112"/>
    </row>
    <row r="15" spans="1:7" s="2" customFormat="1" ht="18.75">
      <c r="A15" s="115" t="s">
        <v>31</v>
      </c>
      <c r="B15" s="234">
        <v>42616011</v>
      </c>
      <c r="C15" s="17">
        <v>30055919</v>
      </c>
      <c r="E15" s="116"/>
      <c r="F15" s="112"/>
      <c r="G15" s="112"/>
    </row>
    <row r="16" spans="1:7" s="2" customFormat="1" ht="18.75">
      <c r="A16" s="117"/>
      <c r="B16" s="18"/>
      <c r="C16" s="19"/>
      <c r="E16" s="116"/>
      <c r="F16" s="112"/>
      <c r="G16" s="112"/>
    </row>
    <row r="17" spans="1:7" s="2" customFormat="1" ht="18.75">
      <c r="A17" s="117" t="s">
        <v>32</v>
      </c>
      <c r="B17" s="234">
        <f>-24171569+60461</f>
        <v>-24111108</v>
      </c>
      <c r="C17" s="19">
        <f>-14643680+62500-4170</f>
        <v>-14585350</v>
      </c>
      <c r="F17" s="112"/>
      <c r="G17" s="112"/>
    </row>
    <row r="18" spans="1:7" s="2" customFormat="1" ht="18.75" hidden="1">
      <c r="A18" s="98"/>
      <c r="B18" s="235"/>
      <c r="C18" s="17"/>
      <c r="F18" s="112"/>
      <c r="G18" s="112"/>
    </row>
    <row r="19" spans="1:7" s="2" customFormat="1" ht="18.75" hidden="1">
      <c r="A19" s="98" t="s">
        <v>167</v>
      </c>
      <c r="B19" s="17">
        <v>0</v>
      </c>
      <c r="C19" s="17">
        <v>0</v>
      </c>
      <c r="F19" s="112"/>
      <c r="G19" s="112"/>
    </row>
    <row r="20" spans="1:7" s="2" customFormat="1" ht="19.5" thickBot="1">
      <c r="A20" s="98"/>
      <c r="B20" s="20"/>
      <c r="C20" s="17"/>
      <c r="F20" s="112"/>
      <c r="G20" s="112"/>
    </row>
    <row r="21" spans="1:7" s="2" customFormat="1" ht="19.5" thickBot="1">
      <c r="A21" s="8" t="s">
        <v>33</v>
      </c>
      <c r="B21" s="120">
        <f>B15+B17</f>
        <v>18504903</v>
      </c>
      <c r="C21" s="120">
        <f>C15+C17</f>
        <v>15470569</v>
      </c>
      <c r="F21" s="112"/>
      <c r="G21" s="112"/>
    </row>
    <row r="22" spans="1:7" s="2" customFormat="1" ht="18.75">
      <c r="A22" s="121"/>
      <c r="B22" s="122"/>
      <c r="C22" s="122"/>
      <c r="F22" s="112"/>
      <c r="G22" s="112"/>
    </row>
    <row r="23" spans="1:7" s="2" customFormat="1" ht="18.75">
      <c r="A23" s="117" t="s">
        <v>34</v>
      </c>
      <c r="B23" s="234">
        <v>2997466</v>
      </c>
      <c r="C23" s="236">
        <v>1888420</v>
      </c>
      <c r="F23" s="112"/>
      <c r="G23" s="112"/>
    </row>
    <row r="24" spans="1:7" s="2" customFormat="1" ht="18.75">
      <c r="A24" s="117"/>
      <c r="B24" s="18"/>
      <c r="C24" s="19"/>
      <c r="F24" s="112"/>
      <c r="G24" s="112"/>
    </row>
    <row r="25" spans="1:7" s="2" customFormat="1" ht="18.75">
      <c r="A25" s="117" t="s">
        <v>35</v>
      </c>
      <c r="B25" s="234">
        <v>-882410</v>
      </c>
      <c r="C25" s="19">
        <f>-355884-379424</f>
        <v>-735308</v>
      </c>
      <c r="F25" s="112"/>
      <c r="G25" s="112"/>
    </row>
    <row r="26" spans="1:7" s="2" customFormat="1" ht="19.5" thickBot="1">
      <c r="A26" s="118"/>
      <c r="B26" s="119"/>
      <c r="C26" s="119"/>
      <c r="F26" s="112"/>
      <c r="G26" s="112"/>
    </row>
    <row r="27" spans="1:7" s="2" customFormat="1" ht="19.5" thickBot="1">
      <c r="A27" s="8" t="s">
        <v>36</v>
      </c>
      <c r="B27" s="120">
        <f>SUM(B22:B26)</f>
        <v>2115056</v>
      </c>
      <c r="C27" s="120">
        <f>SUM(C22:C26)</f>
        <v>1153112</v>
      </c>
      <c r="F27" s="112"/>
      <c r="G27" s="112"/>
    </row>
    <row r="28" spans="1:7" s="2" customFormat="1" ht="18.75">
      <c r="A28" s="115"/>
      <c r="B28" s="122"/>
      <c r="C28" s="122"/>
      <c r="F28" s="112"/>
      <c r="G28" s="112"/>
    </row>
    <row r="29" spans="1:7" s="2" customFormat="1" ht="18.75">
      <c r="A29" s="16" t="s">
        <v>99</v>
      </c>
      <c r="B29" s="123">
        <v>1492791</v>
      </c>
      <c r="C29" s="123">
        <v>1753669</v>
      </c>
      <c r="E29" s="2">
        <v>32853</v>
      </c>
      <c r="F29" s="112"/>
      <c r="G29" s="112"/>
    </row>
    <row r="30" spans="1:7" s="2" customFormat="1" ht="18.75">
      <c r="A30" s="115"/>
      <c r="B30" s="123"/>
      <c r="C30" s="123"/>
      <c r="F30" s="112"/>
      <c r="G30" s="112"/>
    </row>
    <row r="31" spans="1:7" s="2" customFormat="1" ht="18.75">
      <c r="A31" s="16" t="s">
        <v>120</v>
      </c>
      <c r="B31" s="123">
        <v>-78344</v>
      </c>
      <c r="C31" s="123">
        <v>-149108</v>
      </c>
      <c r="F31" s="112"/>
      <c r="G31" s="112"/>
    </row>
    <row r="32" spans="1:7" s="2" customFormat="1" ht="18.75">
      <c r="A32" s="115"/>
      <c r="B32" s="123"/>
      <c r="C32" s="123"/>
      <c r="F32" s="112"/>
      <c r="G32" s="112"/>
    </row>
    <row r="33" spans="1:7" s="2" customFormat="1" ht="18.75">
      <c r="A33" s="115" t="s">
        <v>121</v>
      </c>
      <c r="B33" s="123">
        <f>B29+B31</f>
        <v>1414447</v>
      </c>
      <c r="C33" s="123">
        <f>C29+C31</f>
        <v>1604561</v>
      </c>
      <c r="F33" s="112"/>
      <c r="G33" s="112"/>
    </row>
    <row r="34" spans="1:7" s="2" customFormat="1" ht="18.75">
      <c r="A34" s="115"/>
      <c r="B34" s="123"/>
      <c r="C34" s="123"/>
      <c r="F34" s="112"/>
      <c r="G34" s="112"/>
    </row>
    <row r="35" spans="1:7" s="2" customFormat="1" ht="18.75">
      <c r="A35" s="115" t="s">
        <v>122</v>
      </c>
      <c r="B35" s="123">
        <v>426168</v>
      </c>
      <c r="C35" s="123">
        <v>435145</v>
      </c>
      <c r="F35" s="112"/>
      <c r="G35" s="112"/>
    </row>
    <row r="36" spans="1:7" s="2" customFormat="1" ht="18.75">
      <c r="A36" s="115"/>
      <c r="B36" s="123"/>
      <c r="C36" s="123"/>
      <c r="F36" s="112"/>
      <c r="G36" s="112"/>
    </row>
    <row r="37" spans="1:7" s="2" customFormat="1" ht="37.5">
      <c r="A37" s="192" t="s">
        <v>123</v>
      </c>
      <c r="B37" s="123">
        <v>-185246</v>
      </c>
      <c r="C37" s="123">
        <v>-3465</v>
      </c>
      <c r="F37" s="112"/>
      <c r="G37" s="112"/>
    </row>
    <row r="38" spans="1:7" s="2" customFormat="1" ht="19.5" thickBot="1">
      <c r="A38" s="115"/>
      <c r="B38" s="123"/>
      <c r="C38" s="123"/>
      <c r="F38" s="112"/>
      <c r="G38" s="112"/>
    </row>
    <row r="39" spans="1:7" s="2" customFormat="1" ht="19.5" thickBot="1">
      <c r="A39" s="8" t="s">
        <v>124</v>
      </c>
      <c r="B39" s="120">
        <f>B33+B35+B37</f>
        <v>1655369</v>
      </c>
      <c r="C39" s="120">
        <f>C33+C35+C37</f>
        <v>2036241</v>
      </c>
      <c r="F39" s="112"/>
      <c r="G39" s="112"/>
    </row>
    <row r="40" spans="1:7" s="2" customFormat="1" ht="18.75">
      <c r="A40" s="121"/>
      <c r="B40" s="122"/>
      <c r="C40" s="122"/>
      <c r="F40" s="112"/>
      <c r="G40" s="112"/>
    </row>
    <row r="41" spans="1:7" s="2" customFormat="1" ht="18.75">
      <c r="A41" s="115" t="s">
        <v>95</v>
      </c>
      <c r="B41" s="122">
        <v>-1075809</v>
      </c>
      <c r="C41" s="122">
        <f>-1136554+15827</f>
        <v>-1120727</v>
      </c>
      <c r="F41" s="112"/>
      <c r="G41" s="112"/>
    </row>
    <row r="42" spans="1:7" s="2" customFormat="1" ht="18.75">
      <c r="A42" s="115"/>
      <c r="B42" s="122"/>
      <c r="C42" s="122"/>
      <c r="F42" s="112"/>
      <c r="G42" s="112"/>
    </row>
    <row r="43" spans="1:7" s="2" customFormat="1" ht="18.75">
      <c r="A43" s="115" t="s">
        <v>96</v>
      </c>
      <c r="B43" s="122">
        <v>720</v>
      </c>
      <c r="C43" s="122">
        <f>16048-15827</f>
        <v>221</v>
      </c>
      <c r="F43" s="112"/>
      <c r="G43" s="112"/>
    </row>
    <row r="44" spans="1:7" s="2" customFormat="1" ht="18.75">
      <c r="A44" s="115"/>
      <c r="B44" s="122"/>
      <c r="C44" s="122"/>
      <c r="F44" s="112"/>
      <c r="G44" s="112"/>
    </row>
    <row r="45" spans="1:7" s="2" customFormat="1" ht="18.75">
      <c r="A45" s="115" t="s">
        <v>97</v>
      </c>
      <c r="B45" s="122">
        <f>B41+B43</f>
        <v>-1075089</v>
      </c>
      <c r="C45" s="122">
        <f>C41+C43</f>
        <v>-1120506</v>
      </c>
      <c r="F45" s="112"/>
      <c r="G45" s="112"/>
    </row>
    <row r="46" spans="1:7" s="2" customFormat="1" ht="18.75">
      <c r="A46" s="115"/>
      <c r="B46" s="122"/>
      <c r="C46" s="122"/>
      <c r="F46" s="112"/>
      <c r="G46" s="112"/>
    </row>
    <row r="47" spans="1:7" s="2" customFormat="1" ht="18.75">
      <c r="A47" s="115" t="s">
        <v>135</v>
      </c>
      <c r="B47" s="124">
        <v>-12344</v>
      </c>
      <c r="C47" s="122">
        <v>95954</v>
      </c>
      <c r="F47" s="112"/>
      <c r="G47" s="112"/>
    </row>
    <row r="48" spans="1:7" s="2" customFormat="1" ht="18.75">
      <c r="A48" s="115"/>
      <c r="B48" s="124"/>
      <c r="C48" s="122"/>
      <c r="F48" s="112"/>
      <c r="G48" s="112"/>
    </row>
    <row r="49" spans="1:7" s="2" customFormat="1" ht="18.75">
      <c r="A49" s="115" t="s">
        <v>153</v>
      </c>
      <c r="B49" s="124">
        <v>8691</v>
      </c>
      <c r="C49" s="122">
        <v>75</v>
      </c>
      <c r="F49" s="112"/>
      <c r="G49" s="112"/>
    </row>
    <row r="50" spans="1:7" s="2" customFormat="1" ht="19.5" thickBot="1">
      <c r="A50" s="115"/>
      <c r="B50" s="124"/>
      <c r="C50" s="122"/>
      <c r="F50" s="112"/>
      <c r="G50" s="112"/>
    </row>
    <row r="51" spans="1:7" s="2" customFormat="1" ht="19.5" thickBot="1">
      <c r="A51" s="8" t="s">
        <v>98</v>
      </c>
      <c r="B51" s="120">
        <f>B45+B47+B49</f>
        <v>-1078742</v>
      </c>
      <c r="C51" s="120">
        <f>C45+C47+C49</f>
        <v>-1024477</v>
      </c>
      <c r="F51" s="112"/>
      <c r="G51" s="112"/>
    </row>
    <row r="52" spans="1:7" s="2" customFormat="1" ht="18.75" customHeight="1">
      <c r="A52" s="115"/>
      <c r="B52" s="122"/>
      <c r="C52" s="122"/>
      <c r="F52" s="112"/>
      <c r="G52" s="112"/>
    </row>
    <row r="53" spans="1:7" s="2" customFormat="1" ht="59.25" customHeight="1">
      <c r="A53" s="117" t="s">
        <v>154</v>
      </c>
      <c r="B53" s="123">
        <v>2966728</v>
      </c>
      <c r="C53" s="123">
        <v>1126044</v>
      </c>
      <c r="F53" s="112"/>
      <c r="G53" s="112"/>
    </row>
    <row r="54" spans="1:7" s="2" customFormat="1" ht="18.75">
      <c r="A54" s="117"/>
      <c r="B54" s="125"/>
      <c r="C54" s="125"/>
      <c r="F54" s="112"/>
      <c r="G54" s="112"/>
    </row>
    <row r="55" spans="1:7" s="2" customFormat="1" ht="21" customHeight="1">
      <c r="A55" s="117" t="s">
        <v>155</v>
      </c>
      <c r="B55" s="123">
        <v>554635</v>
      </c>
      <c r="C55" s="123">
        <v>575488</v>
      </c>
      <c r="F55" s="112"/>
      <c r="G55" s="112"/>
    </row>
    <row r="56" spans="1:7" s="2" customFormat="1" ht="24" customHeight="1">
      <c r="A56" s="117"/>
      <c r="B56" s="125"/>
      <c r="C56" s="125"/>
      <c r="F56" s="112"/>
      <c r="G56" s="112"/>
    </row>
    <row r="57" spans="1:7" s="2" customFormat="1" ht="36" customHeight="1" hidden="1">
      <c r="A57" s="117" t="s">
        <v>37</v>
      </c>
      <c r="B57" s="125">
        <v>0</v>
      </c>
      <c r="C57" s="125">
        <v>0</v>
      </c>
      <c r="F57" s="112"/>
      <c r="G57" s="112"/>
    </row>
    <row r="58" spans="1:7" s="2" customFormat="1" ht="18.75" hidden="1">
      <c r="A58" s="117"/>
      <c r="B58" s="125"/>
      <c r="C58" s="125"/>
      <c r="F58" s="112"/>
      <c r="G58" s="112"/>
    </row>
    <row r="59" spans="1:7" s="2" customFormat="1" ht="18.75">
      <c r="A59" s="117" t="s">
        <v>38</v>
      </c>
      <c r="B59" s="123">
        <v>3</v>
      </c>
      <c r="C59" s="123">
        <v>4</v>
      </c>
      <c r="F59" s="112"/>
      <c r="G59" s="112"/>
    </row>
    <row r="60" spans="1:7" s="2" customFormat="1" ht="17.25" customHeight="1">
      <c r="A60" s="117"/>
      <c r="B60" s="125"/>
      <c r="C60" s="125"/>
      <c r="F60" s="112"/>
      <c r="G60" s="112"/>
    </row>
    <row r="61" spans="1:7" s="2" customFormat="1" ht="18.75">
      <c r="A61" s="7" t="s">
        <v>125</v>
      </c>
      <c r="B61" s="123">
        <v>3725411</v>
      </c>
      <c r="C61" s="123">
        <v>121485</v>
      </c>
      <c r="F61" s="112"/>
      <c r="G61" s="112"/>
    </row>
    <row r="62" spans="1:7" s="2" customFormat="1" ht="15.75" customHeight="1" thickBot="1">
      <c r="A62" s="117"/>
      <c r="B62" s="125"/>
      <c r="C62" s="125"/>
      <c r="F62" s="112"/>
      <c r="G62" s="112"/>
    </row>
    <row r="63" spans="1:7" s="2" customFormat="1" ht="19.5" thickBot="1">
      <c r="A63" s="8" t="s">
        <v>93</v>
      </c>
      <c r="B63" s="126">
        <f>B53+B55+B59+B61+B57</f>
        <v>7246777</v>
      </c>
      <c r="C63" s="126">
        <f>C53+C55+C59+C61+C57</f>
        <v>1823021</v>
      </c>
      <c r="F63" s="112"/>
      <c r="G63" s="112"/>
    </row>
    <row r="64" spans="1:7" s="2" customFormat="1" ht="18.75">
      <c r="A64" s="115"/>
      <c r="B64" s="122"/>
      <c r="C64" s="122"/>
      <c r="F64" s="112"/>
      <c r="G64" s="112"/>
    </row>
    <row r="65" spans="1:7" s="2" customFormat="1" ht="18.75">
      <c r="A65" s="117" t="s">
        <v>39</v>
      </c>
      <c r="B65" s="123">
        <v>-7340000</v>
      </c>
      <c r="C65" s="123">
        <v>-7128573</v>
      </c>
      <c r="F65" s="112"/>
      <c r="G65" s="112"/>
    </row>
    <row r="66" spans="1:7" s="2" customFormat="1" ht="18.75">
      <c r="A66" s="117"/>
      <c r="B66" s="125"/>
      <c r="C66" s="125"/>
      <c r="F66" s="112"/>
      <c r="G66" s="112"/>
    </row>
    <row r="67" spans="1:7" s="2" customFormat="1" ht="18.75">
      <c r="A67" s="7" t="s">
        <v>126</v>
      </c>
      <c r="B67" s="123">
        <v>-6380819</v>
      </c>
      <c r="C67" s="123">
        <v>-3962253</v>
      </c>
      <c r="F67" s="112"/>
      <c r="G67" s="112"/>
    </row>
    <row r="68" spans="1:7" s="2" customFormat="1" ht="18.75">
      <c r="A68" s="117"/>
      <c r="B68" s="125"/>
      <c r="C68" s="125"/>
      <c r="F68" s="112"/>
      <c r="G68" s="112"/>
    </row>
    <row r="69" spans="1:7" s="2" customFormat="1" ht="18.75">
      <c r="A69" s="117" t="s">
        <v>127</v>
      </c>
      <c r="B69" s="123">
        <v>-7056192</v>
      </c>
      <c r="C69" s="123">
        <f>-4855289+379424</f>
        <v>-4475865</v>
      </c>
      <c r="E69" s="125">
        <v>-1447085</v>
      </c>
      <c r="F69" s="112"/>
      <c r="G69" s="112"/>
    </row>
    <row r="70" spans="1:7" s="2" customFormat="1" ht="19.5" thickBot="1">
      <c r="A70" s="127"/>
      <c r="B70" s="119"/>
      <c r="C70" s="119"/>
      <c r="F70" s="112"/>
      <c r="G70" s="112"/>
    </row>
    <row r="71" spans="1:7" s="2" customFormat="1" ht="19.5" thickBot="1">
      <c r="A71" s="8" t="s">
        <v>40</v>
      </c>
      <c r="B71" s="126">
        <f>SUM(B64:B70)</f>
        <v>-20777011</v>
      </c>
      <c r="C71" s="126">
        <f>SUM(C64:C70)</f>
        <v>-15566691</v>
      </c>
      <c r="F71" s="112"/>
      <c r="G71" s="112"/>
    </row>
    <row r="72" spans="1:7" s="2" customFormat="1" ht="18.75">
      <c r="A72" s="128"/>
      <c r="B72" s="21"/>
      <c r="C72" s="21"/>
      <c r="F72" s="112"/>
      <c r="G72" s="112"/>
    </row>
    <row r="73" spans="1:7" s="2" customFormat="1" ht="18.75">
      <c r="A73" s="129" t="s">
        <v>41</v>
      </c>
      <c r="B73" s="22">
        <f>B21+B27+B39+B51+B63+B71</f>
        <v>7666352</v>
      </c>
      <c r="C73" s="22">
        <f>C21+C27+C39+C51+C63+C71</f>
        <v>3891775</v>
      </c>
      <c r="F73" s="112"/>
      <c r="G73" s="112"/>
    </row>
    <row r="74" spans="1:7" s="2" customFormat="1" ht="18.75">
      <c r="A74" s="130"/>
      <c r="B74" s="22"/>
      <c r="C74" s="22"/>
      <c r="F74" s="112"/>
      <c r="G74" s="112"/>
    </row>
    <row r="75" spans="1:7" s="2" customFormat="1" ht="18.75">
      <c r="A75" s="117" t="s">
        <v>42</v>
      </c>
      <c r="B75" s="123">
        <v>-1667191</v>
      </c>
      <c r="C75" s="123">
        <v>-947725</v>
      </c>
      <c r="F75" s="112"/>
      <c r="G75" s="112"/>
    </row>
    <row r="76" spans="1:7" s="2" customFormat="1" ht="19.5" thickBot="1">
      <c r="A76" s="131"/>
      <c r="B76" s="23"/>
      <c r="C76" s="23"/>
      <c r="F76" s="112"/>
      <c r="G76" s="112"/>
    </row>
    <row r="77" spans="1:7" s="2" customFormat="1" ht="19.5" thickBot="1">
      <c r="A77" s="11" t="s">
        <v>171</v>
      </c>
      <c r="B77" s="159">
        <f>SUM(B72:B76)</f>
        <v>5999161</v>
      </c>
      <c r="C77" s="80">
        <f>SUM(C72:C76)</f>
        <v>2944050</v>
      </c>
      <c r="F77" s="112"/>
      <c r="G77" s="112"/>
    </row>
    <row r="78" spans="1:7" s="2" customFormat="1" ht="19.5" thickBot="1">
      <c r="A78" s="213"/>
      <c r="B78" s="208"/>
      <c r="C78" s="209"/>
      <c r="F78" s="112"/>
      <c r="G78" s="112"/>
    </row>
    <row r="79" spans="1:7" s="2" customFormat="1" ht="21.75" customHeight="1" thickBot="1">
      <c r="A79" s="213" t="s">
        <v>172</v>
      </c>
      <c r="B79" s="208"/>
      <c r="C79" s="209"/>
      <c r="F79" s="112"/>
      <c r="G79" s="112"/>
    </row>
    <row r="80" spans="1:7" s="2" customFormat="1" ht="18.75">
      <c r="A80" s="213"/>
      <c r="B80" s="227"/>
      <c r="C80" s="227"/>
      <c r="F80" s="112"/>
      <c r="G80" s="112"/>
    </row>
    <row r="81" spans="1:7" s="2" customFormat="1" ht="18.75">
      <c r="A81" s="7" t="s">
        <v>177</v>
      </c>
      <c r="B81" s="239">
        <f>B77-B82</f>
        <v>6011221</v>
      </c>
      <c r="C81" s="239">
        <f>C77-C82</f>
        <v>2944050</v>
      </c>
      <c r="F81" s="112"/>
      <c r="G81" s="112"/>
    </row>
    <row r="82" spans="1:7" s="2" customFormat="1" ht="19.5" thickBot="1">
      <c r="A82" s="7" t="s">
        <v>173</v>
      </c>
      <c r="B82" s="240">
        <v>-12060</v>
      </c>
      <c r="C82" s="228">
        <v>0</v>
      </c>
      <c r="F82" s="112"/>
      <c r="G82" s="112"/>
    </row>
    <row r="83" spans="1:7" s="2" customFormat="1" ht="19.5" thickBot="1">
      <c r="A83" s="213"/>
      <c r="B83" s="225"/>
      <c r="C83" s="226"/>
      <c r="F83" s="112"/>
      <c r="G83" s="112"/>
    </row>
    <row r="84" spans="1:7" s="203" customFormat="1" ht="19.5" thickBot="1">
      <c r="A84" s="200" t="s">
        <v>83</v>
      </c>
      <c r="B84" s="79"/>
      <c r="C84" s="80"/>
      <c r="F84" s="204"/>
      <c r="G84" s="204"/>
    </row>
    <row r="85" spans="1:7" s="133" customFormat="1" ht="18.75">
      <c r="A85" s="6"/>
      <c r="B85" s="216"/>
      <c r="C85" s="135"/>
      <c r="F85" s="134"/>
      <c r="G85" s="134"/>
    </row>
    <row r="86" spans="1:3" ht="37.5">
      <c r="A86" s="137" t="s">
        <v>94</v>
      </c>
      <c r="B86" s="217"/>
      <c r="C86" s="136"/>
    </row>
    <row r="87" spans="1:3" ht="18.75">
      <c r="A87" s="7"/>
      <c r="B87" s="217"/>
      <c r="C87" s="136"/>
    </row>
    <row r="88" spans="1:3" ht="37.5">
      <c r="A88" s="7" t="s">
        <v>43</v>
      </c>
      <c r="B88" s="217"/>
      <c r="C88" s="136"/>
    </row>
    <row r="89" spans="1:3" ht="18.75">
      <c r="A89" s="138"/>
      <c r="B89" s="218"/>
      <c r="C89" s="139"/>
    </row>
    <row r="90" spans="1:3" ht="18.75">
      <c r="A90" s="7" t="s">
        <v>44</v>
      </c>
      <c r="B90" s="237">
        <v>-111404</v>
      </c>
      <c r="C90" s="238">
        <v>-118699</v>
      </c>
    </row>
    <row r="91" spans="1:3" ht="18.75">
      <c r="A91" s="7"/>
      <c r="B91" s="219"/>
      <c r="C91" s="25"/>
    </row>
    <row r="92" spans="1:3" ht="37.5" hidden="1">
      <c r="A92" s="140" t="s">
        <v>45</v>
      </c>
      <c r="B92" s="231">
        <v>0</v>
      </c>
      <c r="C92" s="132">
        <v>0</v>
      </c>
    </row>
    <row r="93" spans="1:3" ht="18.75" hidden="1">
      <c r="A93" s="141"/>
      <c r="B93" s="210"/>
      <c r="C93" s="210"/>
    </row>
    <row r="94" spans="1:3" ht="37.5">
      <c r="A94" s="241" t="s">
        <v>174</v>
      </c>
      <c r="B94" s="231">
        <v>943123</v>
      </c>
      <c r="C94" s="132">
        <v>0</v>
      </c>
    </row>
    <row r="95" spans="1:3" ht="18.75">
      <c r="A95" s="229"/>
      <c r="B95" s="220"/>
      <c r="C95" s="230"/>
    </row>
    <row r="96" spans="1:3" ht="37.5">
      <c r="A96" s="142" t="s">
        <v>90</v>
      </c>
      <c r="B96" s="221">
        <f>B90+B92+B94</f>
        <v>831719</v>
      </c>
      <c r="C96" s="24">
        <f>C90+C92</f>
        <v>-118699</v>
      </c>
    </row>
    <row r="97" spans="1:3" ht="19.5" thickBot="1">
      <c r="A97" s="142"/>
      <c r="B97" s="221"/>
      <c r="C97" s="232"/>
    </row>
    <row r="98" spans="1:7" s="201" customFormat="1" ht="19.5" thickBot="1">
      <c r="A98" s="200" t="s">
        <v>175</v>
      </c>
      <c r="B98" s="222">
        <f>B96</f>
        <v>831719</v>
      </c>
      <c r="C98" s="143">
        <f>C96</f>
        <v>-118699</v>
      </c>
      <c r="F98" s="202"/>
      <c r="G98" s="202"/>
    </row>
    <row r="99" spans="1:7" s="201" customFormat="1" ht="18.75">
      <c r="A99" s="207" t="s">
        <v>179</v>
      </c>
      <c r="B99" s="212">
        <f>B77+B98</f>
        <v>6830880</v>
      </c>
      <c r="C99" s="212">
        <f>C77+C98</f>
        <v>2825351</v>
      </c>
      <c r="F99" s="202"/>
      <c r="G99" s="202"/>
    </row>
    <row r="100" spans="1:7" s="201" customFormat="1" ht="18.75">
      <c r="A100" s="214"/>
      <c r="B100" s="223"/>
      <c r="C100" s="223"/>
      <c r="F100" s="202"/>
      <c r="G100" s="202"/>
    </row>
    <row r="101" spans="1:7" s="201" customFormat="1" ht="18.75">
      <c r="A101" s="214" t="s">
        <v>176</v>
      </c>
      <c r="B101" s="223"/>
      <c r="C101" s="223"/>
      <c r="F101" s="202"/>
      <c r="G101" s="202"/>
    </row>
    <row r="102" spans="1:7" s="201" customFormat="1" ht="18.75">
      <c r="A102" s="7" t="s">
        <v>177</v>
      </c>
      <c r="B102" s="132">
        <f>B99-B103</f>
        <v>6685627</v>
      </c>
      <c r="C102" s="132">
        <f>C99-C103</f>
        <v>2825351</v>
      </c>
      <c r="F102" s="202"/>
      <c r="G102" s="202"/>
    </row>
    <row r="103" spans="1:7" s="201" customFormat="1" ht="18.75">
      <c r="A103" s="7" t="s">
        <v>173</v>
      </c>
      <c r="B103" s="132">
        <v>145253</v>
      </c>
      <c r="C103" s="132">
        <v>0</v>
      </c>
      <c r="F103" s="202"/>
      <c r="G103" s="202"/>
    </row>
    <row r="104" spans="1:7" s="201" customFormat="1" ht="19.5" thickBot="1">
      <c r="A104" s="215" t="s">
        <v>178</v>
      </c>
      <c r="B104" s="224">
        <f>B102+B103</f>
        <v>6830880</v>
      </c>
      <c r="C104" s="224">
        <f>C102+C103</f>
        <v>2825351</v>
      </c>
      <c r="F104" s="202"/>
      <c r="G104" s="202"/>
    </row>
    <row r="105" spans="1:7" s="201" customFormat="1" ht="18.75">
      <c r="A105" s="27"/>
      <c r="B105" s="211"/>
      <c r="C105" s="211"/>
      <c r="F105" s="202"/>
      <c r="G105" s="202"/>
    </row>
    <row r="106" ht="18.75">
      <c r="A106" s="91"/>
    </row>
    <row r="107" spans="1:7" s="181" customFormat="1" ht="18.75">
      <c r="A107" s="274" t="s">
        <v>195</v>
      </c>
      <c r="B107" s="180"/>
      <c r="C107" s="180"/>
      <c r="D107" s="179"/>
      <c r="F107" s="182"/>
      <c r="G107" s="182"/>
    </row>
    <row r="108" ht="18.75">
      <c r="A108" s="91"/>
    </row>
    <row r="109" ht="16.5">
      <c r="A109" s="133"/>
    </row>
    <row r="110" ht="18.75">
      <c r="A110" s="144" t="s">
        <v>46</v>
      </c>
    </row>
    <row r="111" ht="19.5">
      <c r="A111" s="26"/>
    </row>
    <row r="112" spans="1:4" ht="18.75">
      <c r="A112" s="100" t="str">
        <f>'ф.1'!A66</f>
        <v>Председатель Правления                                              </v>
      </c>
      <c r="B112" s="160" t="str">
        <f>'ф.1'!B66</f>
        <v>Таджияков Е.Б.</v>
      </c>
      <c r="D112" s="66"/>
    </row>
    <row r="113" spans="1:4" ht="18.75">
      <c r="A113" s="67"/>
      <c r="D113" s="66"/>
    </row>
    <row r="114" spans="1:4" ht="18.75">
      <c r="A114" s="68"/>
      <c r="D114" s="66"/>
    </row>
    <row r="115" spans="1:4" ht="18.75" customHeight="1">
      <c r="A115" s="69" t="str">
        <f>'ф.1'!A69</f>
        <v>Главный бухгалтер                                                        </v>
      </c>
      <c r="B115" s="160" t="str">
        <f>'ф.1'!B69</f>
        <v>Багаутдинова Н.М.</v>
      </c>
      <c r="D115" s="69"/>
    </row>
    <row r="116" ht="20.25">
      <c r="A116" s="13"/>
    </row>
    <row r="117" ht="18.75">
      <c r="A117" s="27"/>
    </row>
    <row r="118" ht="16.5">
      <c r="A118" s="101" t="s">
        <v>117</v>
      </c>
    </row>
    <row r="119" ht="19.5">
      <c r="A119" s="102" t="s">
        <v>118</v>
      </c>
    </row>
    <row r="120" ht="16.5">
      <c r="A120" s="103" t="s">
        <v>119</v>
      </c>
    </row>
    <row r="122" ht="16.5">
      <c r="A122" s="15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7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G8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3.421875" style="0" customWidth="1"/>
    <col min="2" max="2" width="24.140625" style="162" customWidth="1"/>
    <col min="3" max="3" width="23.8515625" style="162" customWidth="1"/>
  </cols>
  <sheetData>
    <row r="1" spans="1:3" ht="15.75">
      <c r="A1" s="90" t="str">
        <f>'[1]ф.1 конс.'!A1</f>
        <v>БИН                920140000084</v>
      </c>
      <c r="B1" s="150"/>
      <c r="C1" s="283" t="str">
        <f>'ф.1'!C1</f>
        <v>НБРК</v>
      </c>
    </row>
    <row r="2" spans="1:3" ht="15.75">
      <c r="A2" s="90" t="str">
        <f>'[1]ф.1 конс.'!A2</f>
        <v>Код ОКПО             19924793</v>
      </c>
      <c r="B2" s="150"/>
      <c r="C2" s="161"/>
    </row>
    <row r="3" spans="1:3" ht="15.75">
      <c r="A3" s="90" t="str">
        <f>'[1]ф.1 конс.'!A3</f>
        <v>БИК                   TSESKZKA</v>
      </c>
      <c r="B3" s="150"/>
      <c r="C3" s="161"/>
    </row>
    <row r="4" spans="1:3" ht="15.75">
      <c r="A4" s="294" t="str">
        <f>'[1]ф.1 конс.'!A4</f>
        <v>ИИК KZ48125KZT1001300336 в НБ РК</v>
      </c>
      <c r="B4" s="294"/>
      <c r="C4" s="161"/>
    </row>
    <row r="5" spans="1:3" ht="15.75">
      <c r="A5" s="294" t="str">
        <f>'[1]ф.1 конс.'!A5</f>
        <v>Место нахождения головного банка: г.Астана, район Есиль, ул. Сығанақ, д. 24</v>
      </c>
      <c r="B5" s="294"/>
      <c r="C5" s="161"/>
    </row>
    <row r="6" spans="1:3" ht="15">
      <c r="A6" s="28"/>
      <c r="B6" s="161"/>
      <c r="C6" s="161"/>
    </row>
    <row r="7" spans="1:3" ht="15">
      <c r="A7" s="289" t="s">
        <v>69</v>
      </c>
      <c r="B7" s="290"/>
      <c r="C7" s="290"/>
    </row>
    <row r="8" spans="1:3" s="184" customFormat="1" ht="15">
      <c r="A8" s="291" t="s">
        <v>76</v>
      </c>
      <c r="B8" s="290"/>
      <c r="C8" s="290"/>
    </row>
    <row r="9" spans="1:3" ht="15">
      <c r="A9" s="291" t="s">
        <v>2</v>
      </c>
      <c r="B9" s="290"/>
      <c r="C9" s="290"/>
    </row>
    <row r="10" spans="1:3" ht="15.75">
      <c r="A10" s="292" t="s">
        <v>164</v>
      </c>
      <c r="B10" s="293"/>
      <c r="C10" s="293"/>
    </row>
    <row r="12" ht="15.75" thickBot="1">
      <c r="C12" s="163" t="s">
        <v>73</v>
      </c>
    </row>
    <row r="13" spans="1:3" ht="15.75" thickBot="1">
      <c r="A13" s="33"/>
      <c r="B13" s="164" t="s">
        <v>185</v>
      </c>
      <c r="C13" s="164" t="s">
        <v>186</v>
      </c>
    </row>
    <row r="14" spans="1:3" ht="28.5">
      <c r="A14" s="76" t="s">
        <v>47</v>
      </c>
      <c r="B14" s="165"/>
      <c r="C14" s="166"/>
    </row>
    <row r="15" spans="1:3" ht="15">
      <c r="A15" s="34" t="s">
        <v>31</v>
      </c>
      <c r="B15" s="167">
        <v>33652798</v>
      </c>
      <c r="C15" s="167">
        <v>26176722</v>
      </c>
    </row>
    <row r="16" spans="1:3" ht="15">
      <c r="A16" s="34" t="s">
        <v>32</v>
      </c>
      <c r="B16" s="167">
        <v>-22920248</v>
      </c>
      <c r="C16" s="167">
        <v>-14449908</v>
      </c>
    </row>
    <row r="17" spans="1:3" ht="15">
      <c r="A17" s="34" t="s">
        <v>34</v>
      </c>
      <c r="B17" s="167">
        <v>3130022</v>
      </c>
      <c r="C17" s="167">
        <v>1858313</v>
      </c>
    </row>
    <row r="18" spans="1:3" ht="15">
      <c r="A18" s="34" t="s">
        <v>35</v>
      </c>
      <c r="B18" s="167">
        <v>-967399</v>
      </c>
      <c r="C18" s="167">
        <v>-736222</v>
      </c>
    </row>
    <row r="19" spans="1:3" ht="15">
      <c r="A19" s="34" t="s">
        <v>100</v>
      </c>
      <c r="B19" s="167">
        <v>1476478</v>
      </c>
      <c r="C19" s="167">
        <v>1982088</v>
      </c>
    </row>
    <row r="20" spans="1:3" ht="15">
      <c r="A20" s="34" t="s">
        <v>101</v>
      </c>
      <c r="B20" s="167">
        <v>-158069</v>
      </c>
      <c r="C20" s="167">
        <v>-249662</v>
      </c>
    </row>
    <row r="21" spans="1:3" ht="15">
      <c r="A21" s="34" t="s">
        <v>136</v>
      </c>
      <c r="B21" s="167">
        <v>-1074035</v>
      </c>
      <c r="C21" s="167">
        <v>-1106446</v>
      </c>
    </row>
    <row r="22" spans="1:3" ht="45">
      <c r="A22" s="34" t="s">
        <v>148</v>
      </c>
      <c r="B22" s="167">
        <v>13323330</v>
      </c>
      <c r="C22" s="167">
        <v>69860</v>
      </c>
    </row>
    <row r="23" spans="1:3" ht="15">
      <c r="A23" s="34" t="s">
        <v>48</v>
      </c>
      <c r="B23" s="167">
        <v>4351364</v>
      </c>
      <c r="C23" s="167">
        <v>2439028</v>
      </c>
    </row>
    <row r="24" spans="1:3" ht="15" hidden="1">
      <c r="A24" s="34" t="s">
        <v>49</v>
      </c>
      <c r="B24" s="167">
        <v>0</v>
      </c>
      <c r="C24" s="167">
        <v>0</v>
      </c>
    </row>
    <row r="25" spans="1:3" ht="15">
      <c r="A25" s="34" t="s">
        <v>50</v>
      </c>
      <c r="B25" s="167">
        <v>522934</v>
      </c>
      <c r="C25" s="167">
        <v>106142</v>
      </c>
    </row>
    <row r="26" spans="1:3" ht="15">
      <c r="A26" s="34" t="s">
        <v>51</v>
      </c>
      <c r="B26" s="167">
        <v>-11418379</v>
      </c>
      <c r="C26" s="167">
        <v>-6659607</v>
      </c>
    </row>
    <row r="27" spans="1:3" ht="15">
      <c r="A27" s="35"/>
      <c r="B27" s="168"/>
      <c r="C27" s="167"/>
    </row>
    <row r="28" spans="1:3" ht="15">
      <c r="A28" s="35" t="s">
        <v>52</v>
      </c>
      <c r="B28" s="169"/>
      <c r="C28" s="167"/>
    </row>
    <row r="29" spans="1:3" ht="15">
      <c r="A29" s="34" t="s">
        <v>6</v>
      </c>
      <c r="B29" s="167">
        <v>-1677179</v>
      </c>
      <c r="C29" s="167">
        <v>-6983402.138441112</v>
      </c>
    </row>
    <row r="30" spans="1:3" ht="15">
      <c r="A30" s="34" t="s">
        <v>92</v>
      </c>
      <c r="B30" s="167">
        <v>-6292000</v>
      </c>
      <c r="C30" s="167">
        <v>-2169266</v>
      </c>
    </row>
    <row r="31" spans="1:3" ht="30">
      <c r="A31" s="34" t="s">
        <v>137</v>
      </c>
      <c r="B31" s="167">
        <v>3957525</v>
      </c>
      <c r="C31" s="167">
        <v>1490674</v>
      </c>
    </row>
    <row r="32" spans="1:3" ht="15">
      <c r="A32" s="34" t="s">
        <v>9</v>
      </c>
      <c r="B32" s="167">
        <v>-9597880</v>
      </c>
      <c r="C32" s="167">
        <v>-12087345.141908754</v>
      </c>
    </row>
    <row r="33" spans="1:3" ht="15">
      <c r="A33" s="34" t="s">
        <v>14</v>
      </c>
      <c r="B33" s="167">
        <v>167231</v>
      </c>
      <c r="C33" s="167">
        <v>-187018</v>
      </c>
    </row>
    <row r="34" spans="1:3" ht="15">
      <c r="A34" s="35"/>
      <c r="B34" s="168"/>
      <c r="C34" s="167"/>
    </row>
    <row r="35" spans="1:3" ht="15">
      <c r="A35" s="35" t="s">
        <v>53</v>
      </c>
      <c r="B35" s="169"/>
      <c r="C35" s="167"/>
    </row>
    <row r="36" spans="1:3" ht="15">
      <c r="A36" s="34" t="s">
        <v>116</v>
      </c>
      <c r="B36" s="167">
        <v>5700780</v>
      </c>
      <c r="C36" s="167">
        <v>13562371</v>
      </c>
    </row>
    <row r="37" spans="1:3" ht="15">
      <c r="A37" s="34" t="s">
        <v>16</v>
      </c>
      <c r="B37" s="167">
        <v>-19724642</v>
      </c>
      <c r="C37" s="167">
        <v>10845991.166972384</v>
      </c>
    </row>
    <row r="38" spans="1:3" ht="15">
      <c r="A38" s="34" t="s">
        <v>54</v>
      </c>
      <c r="B38" s="167">
        <v>123490317</v>
      </c>
      <c r="C38" s="167">
        <v>-51830431.57426827</v>
      </c>
    </row>
    <row r="39" spans="1:3" ht="15">
      <c r="A39" s="34" t="s">
        <v>55</v>
      </c>
      <c r="B39" s="167">
        <v>19800005</v>
      </c>
      <c r="C39" s="167">
        <v>0</v>
      </c>
    </row>
    <row r="40" spans="1:3" ht="15">
      <c r="A40" s="34" t="s">
        <v>56</v>
      </c>
      <c r="B40" s="167">
        <v>241697</v>
      </c>
      <c r="C40" s="167">
        <v>-247325</v>
      </c>
    </row>
    <row r="41" spans="1:3" ht="28.5">
      <c r="A41" s="35" t="s">
        <v>156</v>
      </c>
      <c r="B41" s="170">
        <f>SUM(B15:B40)</f>
        <v>135984650</v>
      </c>
      <c r="C41" s="185">
        <f>SUM(C15:C40)</f>
        <v>-38175443.68764575</v>
      </c>
    </row>
    <row r="42" spans="1:3" ht="15">
      <c r="A42" s="34" t="s">
        <v>57</v>
      </c>
      <c r="B42" s="167">
        <v>-1170957</v>
      </c>
      <c r="C42" s="186">
        <v>-356000</v>
      </c>
    </row>
    <row r="43" spans="1:3" ht="28.5">
      <c r="A43" s="35" t="s">
        <v>157</v>
      </c>
      <c r="B43" s="170">
        <f>B41+B42</f>
        <v>134813693</v>
      </c>
      <c r="C43" s="185">
        <f>C41+C42</f>
        <v>-38531443.68764575</v>
      </c>
    </row>
    <row r="44" spans="1:3" ht="28.5">
      <c r="A44" s="35" t="s">
        <v>58</v>
      </c>
      <c r="B44" s="169"/>
      <c r="C44" s="187"/>
    </row>
    <row r="45" spans="1:3" ht="15">
      <c r="A45" s="34" t="s">
        <v>144</v>
      </c>
      <c r="B45" s="167">
        <v>0</v>
      </c>
      <c r="C45" s="186">
        <v>-425960</v>
      </c>
    </row>
    <row r="46" spans="1:3" ht="30" hidden="1">
      <c r="A46" s="34" t="s">
        <v>59</v>
      </c>
      <c r="B46" s="167">
        <v>0</v>
      </c>
      <c r="C46" s="186">
        <v>0</v>
      </c>
    </row>
    <row r="47" spans="1:3" ht="15">
      <c r="A47" s="34" t="s">
        <v>60</v>
      </c>
      <c r="B47" s="167">
        <v>0</v>
      </c>
      <c r="C47" s="186">
        <v>-141360</v>
      </c>
    </row>
    <row r="48" spans="1:3" ht="15">
      <c r="A48" s="34" t="s">
        <v>61</v>
      </c>
      <c r="B48" s="167">
        <v>2000000</v>
      </c>
      <c r="C48" s="186">
        <v>6196409</v>
      </c>
    </row>
    <row r="49" spans="1:3" ht="15" hidden="1">
      <c r="A49" s="34" t="s">
        <v>138</v>
      </c>
      <c r="B49" s="167">
        <v>0</v>
      </c>
      <c r="C49" s="186">
        <v>0</v>
      </c>
    </row>
    <row r="50" spans="1:3" ht="15">
      <c r="A50" s="34" t="s">
        <v>62</v>
      </c>
      <c r="B50" s="167">
        <v>-613809</v>
      </c>
      <c r="C50" s="186">
        <v>-1038163</v>
      </c>
    </row>
    <row r="51" spans="1:3" ht="15">
      <c r="A51" s="36" t="s">
        <v>139</v>
      </c>
      <c r="B51" s="167">
        <v>8238</v>
      </c>
      <c r="C51" s="186">
        <v>0</v>
      </c>
    </row>
    <row r="52" spans="1:3" ht="15">
      <c r="A52" s="34" t="s">
        <v>187</v>
      </c>
      <c r="B52" s="167">
        <v>-1217955</v>
      </c>
      <c r="C52" s="186">
        <v>0</v>
      </c>
    </row>
    <row r="53" spans="1:3" ht="28.5">
      <c r="A53" s="35" t="s">
        <v>160</v>
      </c>
      <c r="B53" s="170">
        <f>SUM(B45:B52)</f>
        <v>176474</v>
      </c>
      <c r="C53" s="185">
        <f>SUM(C45:C52)</f>
        <v>4590926</v>
      </c>
    </row>
    <row r="54" spans="1:3" ht="15">
      <c r="A54" s="32"/>
      <c r="B54" s="171"/>
      <c r="C54" s="188"/>
    </row>
    <row r="55" spans="1:3" ht="28.5">
      <c r="A55" s="35" t="s">
        <v>63</v>
      </c>
      <c r="B55" s="169"/>
      <c r="C55" s="187"/>
    </row>
    <row r="56" spans="1:3" ht="15" hidden="1">
      <c r="A56" s="34" t="s">
        <v>102</v>
      </c>
      <c r="B56" s="167">
        <v>0</v>
      </c>
      <c r="C56" s="186">
        <v>0</v>
      </c>
    </row>
    <row r="57" spans="1:3" ht="15">
      <c r="A57" s="34" t="s">
        <v>145</v>
      </c>
      <c r="B57" s="167">
        <v>-11404</v>
      </c>
      <c r="C57" s="186">
        <v>0</v>
      </c>
    </row>
    <row r="58" spans="1:3" ht="15" hidden="1">
      <c r="A58" s="34" t="s">
        <v>65</v>
      </c>
      <c r="B58" s="167">
        <v>0</v>
      </c>
      <c r="C58" s="186">
        <v>0</v>
      </c>
    </row>
    <row r="59" spans="1:3" ht="15">
      <c r="A59" s="34" t="s">
        <v>64</v>
      </c>
      <c r="B59" s="167">
        <v>0</v>
      </c>
      <c r="C59" s="186">
        <v>-5874.096950000001</v>
      </c>
    </row>
    <row r="60" spans="1:3" ht="15">
      <c r="A60" s="34" t="s">
        <v>66</v>
      </c>
      <c r="B60" s="167">
        <v>9600170</v>
      </c>
      <c r="C60" s="186">
        <v>0</v>
      </c>
    </row>
    <row r="61" spans="1:3" ht="15">
      <c r="A61" s="34" t="s">
        <v>67</v>
      </c>
      <c r="B61" s="167">
        <v>7230</v>
      </c>
      <c r="C61" s="186">
        <v>-30210</v>
      </c>
    </row>
    <row r="62" spans="1:3" ht="28.5">
      <c r="A62" s="35" t="s">
        <v>158</v>
      </c>
      <c r="B62" s="170">
        <f>SUM(B56:B61)</f>
        <v>9595996</v>
      </c>
      <c r="C62" s="185">
        <f>SUM(C56:C61)</f>
        <v>-36084.09695</v>
      </c>
    </row>
    <row r="63" spans="1:3" ht="15">
      <c r="A63" s="35"/>
      <c r="B63" s="169"/>
      <c r="C63" s="187"/>
    </row>
    <row r="64" spans="1:3" ht="28.5">
      <c r="A64" s="35" t="s">
        <v>159</v>
      </c>
      <c r="B64" s="170">
        <f>B62+B53+B43</f>
        <v>144586163</v>
      </c>
      <c r="C64" s="185">
        <f>C62+C53+C43</f>
        <v>-33976601.78459575</v>
      </c>
    </row>
    <row r="65" spans="1:3" ht="15">
      <c r="A65" s="34" t="s">
        <v>68</v>
      </c>
      <c r="B65" s="167">
        <v>-3380348</v>
      </c>
      <c r="C65" s="186">
        <v>855156.6876457445</v>
      </c>
    </row>
    <row r="66" spans="1:3" ht="15">
      <c r="A66" s="34" t="s">
        <v>183</v>
      </c>
      <c r="B66" s="167">
        <v>185753592</v>
      </c>
      <c r="C66" s="186">
        <v>142148716</v>
      </c>
    </row>
    <row r="67" spans="1:3" ht="15.75" thickBot="1">
      <c r="A67" s="37" t="s">
        <v>182</v>
      </c>
      <c r="B67" s="172">
        <f>B64+B65+B66</f>
        <v>326959407</v>
      </c>
      <c r="C67" s="189">
        <f>C64+C65+C66</f>
        <v>109027270.90304999</v>
      </c>
    </row>
    <row r="69" spans="1:3" ht="15">
      <c r="A69" s="89" t="s">
        <v>71</v>
      </c>
      <c r="B69" s="174"/>
      <c r="C69" s="174"/>
    </row>
    <row r="70" spans="1:3" ht="15">
      <c r="A70" s="29"/>
      <c r="B70" s="173"/>
      <c r="C70" s="173"/>
    </row>
    <row r="71" spans="1:3" ht="15">
      <c r="A71" s="29"/>
      <c r="B71" s="173"/>
      <c r="C71" s="173"/>
    </row>
    <row r="72" spans="1:2" ht="15">
      <c r="A72" s="30" t="str">
        <f>'ф.1'!A66</f>
        <v>Председатель Правления                                              </v>
      </c>
      <c r="B72" s="30" t="str">
        <f>'ф.1'!B66</f>
        <v>Таджияков Е.Б.</v>
      </c>
    </row>
    <row r="73" spans="1:2" ht="15">
      <c r="A73" s="30"/>
      <c r="B73" s="175"/>
    </row>
    <row r="74" spans="1:2" ht="15">
      <c r="A74" s="30" t="s">
        <v>72</v>
      </c>
      <c r="B74" s="175"/>
    </row>
    <row r="75" spans="1:2" ht="15">
      <c r="A75" s="30" t="str">
        <f>'ф.1'!A69</f>
        <v>Главный бухгалтер                                                        </v>
      </c>
      <c r="B75" s="30" t="str">
        <f>'ф.1'!B69</f>
        <v>Багаутдинова Н.М.</v>
      </c>
    </row>
    <row r="76" spans="1:2" ht="15">
      <c r="A76" s="31"/>
      <c r="B76" s="176"/>
    </row>
    <row r="77" spans="1:2" ht="15">
      <c r="A77" s="28"/>
      <c r="B77" s="161"/>
    </row>
    <row r="78" spans="1:7" s="108" customFormat="1" ht="16.5">
      <c r="A78" s="101" t="s">
        <v>117</v>
      </c>
      <c r="B78" s="28"/>
      <c r="C78" s="28"/>
      <c r="F78" s="109"/>
      <c r="G78" s="109"/>
    </row>
    <row r="79" spans="1:7" s="108" customFormat="1" ht="19.5">
      <c r="A79" s="102" t="s">
        <v>118</v>
      </c>
      <c r="B79" s="28"/>
      <c r="C79" s="28"/>
      <c r="F79" s="109"/>
      <c r="G79" s="109"/>
    </row>
    <row r="80" spans="1:7" s="108" customFormat="1" ht="16.5">
      <c r="A80" s="103" t="s">
        <v>119</v>
      </c>
      <c r="B80" s="28"/>
      <c r="C80" s="28"/>
      <c r="F80" s="109"/>
      <c r="G80" s="109"/>
    </row>
  </sheetData>
  <sheetProtection/>
  <mergeCells count="6">
    <mergeCell ref="A7:C7"/>
    <mergeCell ref="A9:C9"/>
    <mergeCell ref="A10:C10"/>
    <mergeCell ref="A4:B4"/>
    <mergeCell ref="A5:B5"/>
    <mergeCell ref="A8:C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65"/>
  <sheetViews>
    <sheetView tabSelected="1" workbookViewId="0" topLeftCell="F1">
      <selection activeCell="K3" sqref="K3"/>
    </sheetView>
  </sheetViews>
  <sheetFormatPr defaultColWidth="9.140625" defaultRowHeight="15"/>
  <cols>
    <col min="1" max="1" width="68.28125" style="268" customWidth="1"/>
    <col min="2" max="2" width="16.140625" style="153" customWidth="1"/>
    <col min="3" max="3" width="23.140625" style="153" customWidth="1"/>
    <col min="4" max="4" width="17.28125" style="153" hidden="1" customWidth="1"/>
    <col min="5" max="5" width="31.00390625" style="153" customWidth="1"/>
    <col min="6" max="6" width="17.8515625" style="153" customWidth="1"/>
    <col min="7" max="7" width="21.7109375" style="153" customWidth="1"/>
    <col min="8" max="8" width="20.00390625" style="153" customWidth="1"/>
    <col min="9" max="9" width="20.7109375" style="153" customWidth="1"/>
    <col min="10" max="10" width="16.28125" style="153" customWidth="1"/>
    <col min="11" max="11" width="21.28125" style="153" customWidth="1"/>
    <col min="12" max="12" width="23.421875" style="45" customWidth="1"/>
    <col min="13" max="14" width="13.7109375" style="193" bestFit="1" customWidth="1"/>
    <col min="15" max="16384" width="9.140625" style="38" customWidth="1"/>
  </cols>
  <sheetData>
    <row r="1" spans="1:12" ht="15.75">
      <c r="A1" s="243" t="str">
        <f>'[2]ф.1 конс.'!A1</f>
        <v>БИН                920140000084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84" t="str">
        <f>'ф.1'!C1</f>
        <v>НБРК</v>
      </c>
    </row>
    <row r="2" spans="1:11" ht="15.75">
      <c r="A2" s="243" t="str">
        <f>'[2]ф.1 конс.'!A2</f>
        <v>Код ОКПО             19924793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>
      <c r="A3" s="243" t="str">
        <f>'[2]ф.1 конс.'!A3</f>
        <v>БИК                   TSESKZKA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21" customHeight="1">
      <c r="A4" s="296" t="str">
        <f>'[2]ф.1 конс.'!A4</f>
        <v>ИИК KZ48125KZT1001300336 в НБ РК</v>
      </c>
      <c r="B4" s="296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8.75" customHeight="1">
      <c r="A5" s="296" t="str">
        <f>'[2]ф.1 конс.'!A5</f>
        <v>Место нахождения головного банка: г.Астана, район Есиль, ул. Сығанақ, д. 24</v>
      </c>
      <c r="B5" s="296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244"/>
      <c r="B6" s="245"/>
      <c r="C6" s="150"/>
      <c r="D6" s="150"/>
      <c r="E6" s="150"/>
      <c r="F6" s="150"/>
      <c r="G6" s="150"/>
      <c r="H6" s="150"/>
      <c r="I6" s="150"/>
      <c r="J6" s="150"/>
      <c r="K6" s="150"/>
    </row>
    <row r="7" spans="1:14" s="39" customFormat="1" ht="15.75">
      <c r="A7" s="297" t="s">
        <v>75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69"/>
      <c r="N7" s="269"/>
    </row>
    <row r="8" spans="1:14" s="39" customFormat="1" ht="15.75">
      <c r="A8" s="297" t="s">
        <v>76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69"/>
      <c r="N8" s="269"/>
    </row>
    <row r="9" spans="1:12" ht="15.75">
      <c r="A9" s="298" t="s">
        <v>77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</row>
    <row r="10" spans="1:12" ht="15.75">
      <c r="A10" s="295" t="s">
        <v>164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ht="16.5" thickBot="1">
      <c r="A11" s="243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63" t="s">
        <v>73</v>
      </c>
    </row>
    <row r="12" spans="1:12" ht="99.75" customHeight="1" thickBot="1">
      <c r="A12" s="246"/>
      <c r="B12" s="145" t="s">
        <v>78</v>
      </c>
      <c r="C12" s="151" t="s">
        <v>22</v>
      </c>
      <c r="D12" s="151" t="s">
        <v>79</v>
      </c>
      <c r="E12" s="145" t="s">
        <v>128</v>
      </c>
      <c r="F12" s="145" t="s">
        <v>80</v>
      </c>
      <c r="G12" s="145" t="s">
        <v>81</v>
      </c>
      <c r="H12" s="145" t="s">
        <v>88</v>
      </c>
      <c r="I12" s="145" t="s">
        <v>28</v>
      </c>
      <c r="J12" s="247" t="s">
        <v>24</v>
      </c>
      <c r="K12" s="247" t="s">
        <v>25</v>
      </c>
      <c r="L12" s="248" t="s">
        <v>26</v>
      </c>
    </row>
    <row r="13" spans="1:14" s="40" customFormat="1" ht="15.75">
      <c r="A13" s="249">
        <v>1</v>
      </c>
      <c r="B13" s="152">
        <v>2</v>
      </c>
      <c r="C13" s="152">
        <v>3</v>
      </c>
      <c r="D13" s="152">
        <v>4</v>
      </c>
      <c r="E13" s="152" t="s">
        <v>142</v>
      </c>
      <c r="F13" s="152" t="s">
        <v>143</v>
      </c>
      <c r="G13" s="152" t="s">
        <v>105</v>
      </c>
      <c r="H13" s="152" t="s">
        <v>106</v>
      </c>
      <c r="I13" s="152" t="s">
        <v>107</v>
      </c>
      <c r="J13" s="152" t="s">
        <v>108</v>
      </c>
      <c r="K13" s="250" t="s">
        <v>149</v>
      </c>
      <c r="L13" s="251" t="s">
        <v>191</v>
      </c>
      <c r="M13" s="270"/>
      <c r="N13" s="270"/>
    </row>
    <row r="14" spans="1:14" s="45" customFormat="1" ht="15.75">
      <c r="A14" s="41" t="s">
        <v>189</v>
      </c>
      <c r="B14" s="42">
        <v>61428044</v>
      </c>
      <c r="C14" s="42">
        <v>43615</v>
      </c>
      <c r="D14" s="42">
        <f>12191*0</f>
        <v>0</v>
      </c>
      <c r="E14" s="42">
        <v>-12571</v>
      </c>
      <c r="F14" s="42">
        <v>0</v>
      </c>
      <c r="G14" s="42">
        <v>12002883</v>
      </c>
      <c r="H14" s="42">
        <v>16631209</v>
      </c>
      <c r="I14" s="42">
        <v>17330032</v>
      </c>
      <c r="J14" s="42">
        <f>I14+G14+F14+E14+D14+C14+B14+H14</f>
        <v>107423212</v>
      </c>
      <c r="K14" s="42">
        <v>0</v>
      </c>
      <c r="L14" s="44">
        <f>J14+K14</f>
        <v>107423212</v>
      </c>
      <c r="M14" s="271"/>
      <c r="N14" s="271"/>
    </row>
    <row r="15" spans="1:14" s="45" customFormat="1" ht="15.75">
      <c r="A15" s="46" t="s">
        <v>82</v>
      </c>
      <c r="B15" s="42"/>
      <c r="C15" s="42"/>
      <c r="D15" s="42"/>
      <c r="E15" s="42"/>
      <c r="F15" s="42"/>
      <c r="G15" s="42"/>
      <c r="H15" s="42"/>
      <c r="I15" s="42"/>
      <c r="J15" s="43"/>
      <c r="K15" s="42"/>
      <c r="L15" s="44"/>
      <c r="M15" s="271"/>
      <c r="N15" s="271"/>
    </row>
    <row r="16" spans="1:14" s="45" customFormat="1" ht="15.75">
      <c r="A16" s="47" t="s">
        <v>161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f>'ф.2'!C77</f>
        <v>2944050</v>
      </c>
      <c r="J16" s="43">
        <f>I16</f>
        <v>2944050</v>
      </c>
      <c r="K16" s="43">
        <f>'[2]ф.2 конс.'!C83</f>
        <v>0</v>
      </c>
      <c r="L16" s="44">
        <f>K16+J16</f>
        <v>2944050</v>
      </c>
      <c r="M16" s="271"/>
      <c r="N16" s="271"/>
    </row>
    <row r="17" spans="1:14" s="45" customFormat="1" ht="15.75">
      <c r="A17" s="46" t="s">
        <v>83</v>
      </c>
      <c r="B17" s="43"/>
      <c r="C17" s="43"/>
      <c r="D17" s="43"/>
      <c r="E17" s="43"/>
      <c r="F17" s="43"/>
      <c r="G17" s="43"/>
      <c r="H17" s="43"/>
      <c r="I17" s="42"/>
      <c r="J17" s="43"/>
      <c r="K17" s="42"/>
      <c r="L17" s="44"/>
      <c r="M17" s="271"/>
      <c r="N17" s="271"/>
    </row>
    <row r="18" spans="1:14" s="45" customFormat="1" ht="31.5">
      <c r="A18" s="48" t="s">
        <v>89</v>
      </c>
      <c r="B18" s="43"/>
      <c r="C18" s="43"/>
      <c r="D18" s="43"/>
      <c r="E18" s="43"/>
      <c r="F18" s="43"/>
      <c r="G18" s="43"/>
      <c r="H18" s="43"/>
      <c r="I18" s="42"/>
      <c r="J18" s="43"/>
      <c r="K18" s="42"/>
      <c r="L18" s="44"/>
      <c r="M18" s="271"/>
      <c r="N18" s="271"/>
    </row>
    <row r="19" spans="1:14" s="45" customFormat="1" ht="31.5">
      <c r="A19" s="47" t="s">
        <v>84</v>
      </c>
      <c r="B19" s="43">
        <v>0</v>
      </c>
      <c r="C19" s="43">
        <v>0</v>
      </c>
      <c r="D19" s="43">
        <v>0</v>
      </c>
      <c r="E19" s="43">
        <f>'ф.2'!C90</f>
        <v>-118699</v>
      </c>
      <c r="F19" s="49">
        <v>0</v>
      </c>
      <c r="G19" s="49">
        <v>0</v>
      </c>
      <c r="H19" s="49">
        <v>0</v>
      </c>
      <c r="I19" s="42">
        <v>0</v>
      </c>
      <c r="J19" s="43">
        <f>E19</f>
        <v>-118699</v>
      </c>
      <c r="K19" s="43">
        <v>0</v>
      </c>
      <c r="L19" s="44">
        <f>J19+K19</f>
        <v>-118699</v>
      </c>
      <c r="M19" s="271"/>
      <c r="N19" s="271"/>
    </row>
    <row r="20" spans="1:14" s="45" customFormat="1" ht="31.5" hidden="1">
      <c r="A20" s="47" t="s">
        <v>104</v>
      </c>
      <c r="B20" s="43">
        <v>0</v>
      </c>
      <c r="C20" s="43">
        <v>0</v>
      </c>
      <c r="D20" s="43">
        <v>0</v>
      </c>
      <c r="E20" s="49">
        <f>'ф.2'!C92</f>
        <v>0</v>
      </c>
      <c r="F20" s="49">
        <v>0</v>
      </c>
      <c r="G20" s="49">
        <v>0</v>
      </c>
      <c r="H20" s="49">
        <v>0</v>
      </c>
      <c r="I20" s="42">
        <v>0</v>
      </c>
      <c r="J20" s="43">
        <f>E20</f>
        <v>0</v>
      </c>
      <c r="K20" s="42">
        <v>0</v>
      </c>
      <c r="L20" s="44">
        <f>J20+K20</f>
        <v>0</v>
      </c>
      <c r="M20" s="271"/>
      <c r="N20" s="271"/>
    </row>
    <row r="21" spans="1:14" s="45" customFormat="1" ht="33.75" customHeight="1" thickBot="1">
      <c r="A21" s="50" t="s">
        <v>90</v>
      </c>
      <c r="B21" s="43">
        <v>0</v>
      </c>
      <c r="C21" s="43">
        <v>0</v>
      </c>
      <c r="D21" s="43">
        <v>0</v>
      </c>
      <c r="E21" s="51">
        <f>E19+E20</f>
        <v>-118699</v>
      </c>
      <c r="F21" s="51">
        <v>0</v>
      </c>
      <c r="G21" s="51">
        <f>G19+G20</f>
        <v>0</v>
      </c>
      <c r="H21" s="51">
        <f>H19+H20</f>
        <v>0</v>
      </c>
      <c r="I21" s="51">
        <f>I19+I20</f>
        <v>0</v>
      </c>
      <c r="J21" s="51">
        <f>J19+J20</f>
        <v>-118699</v>
      </c>
      <c r="K21" s="51">
        <f>K19+K20</f>
        <v>0</v>
      </c>
      <c r="L21" s="44">
        <f>J21+K21</f>
        <v>-118699</v>
      </c>
      <c r="M21" s="271"/>
      <c r="N21" s="271"/>
    </row>
    <row r="22" spans="1:14" s="45" customFormat="1" ht="21.75" customHeight="1" thickBot="1">
      <c r="A22" s="53" t="s">
        <v>91</v>
      </c>
      <c r="B22" s="54">
        <v>0</v>
      </c>
      <c r="C22" s="54">
        <v>0</v>
      </c>
      <c r="D22" s="54">
        <v>0</v>
      </c>
      <c r="E22" s="54">
        <f aca="true" t="shared" si="0" ref="E22:L22">E21</f>
        <v>-118699</v>
      </c>
      <c r="F22" s="54">
        <f t="shared" si="0"/>
        <v>0</v>
      </c>
      <c r="G22" s="54">
        <f t="shared" si="0"/>
        <v>0</v>
      </c>
      <c r="H22" s="54">
        <f t="shared" si="0"/>
        <v>0</v>
      </c>
      <c r="I22" s="54">
        <f t="shared" si="0"/>
        <v>0</v>
      </c>
      <c r="J22" s="54">
        <f t="shared" si="0"/>
        <v>-118699</v>
      </c>
      <c r="K22" s="54">
        <f t="shared" si="0"/>
        <v>0</v>
      </c>
      <c r="L22" s="55">
        <f t="shared" si="0"/>
        <v>-118699</v>
      </c>
      <c r="M22" s="271"/>
      <c r="N22" s="271"/>
    </row>
    <row r="23" spans="1:14" s="45" customFormat="1" ht="16.5" customHeight="1" thickBot="1">
      <c r="A23" s="56" t="s">
        <v>162</v>
      </c>
      <c r="B23" s="57">
        <v>0</v>
      </c>
      <c r="C23" s="57">
        <v>0</v>
      </c>
      <c r="D23" s="57">
        <v>0</v>
      </c>
      <c r="E23" s="57">
        <f>E22</f>
        <v>-118699</v>
      </c>
      <c r="F23" s="57">
        <f>F22</f>
        <v>0</v>
      </c>
      <c r="G23" s="57">
        <f>G22</f>
        <v>0</v>
      </c>
      <c r="H23" s="57">
        <f>H22</f>
        <v>0</v>
      </c>
      <c r="I23" s="57">
        <f>I22+I16</f>
        <v>2944050</v>
      </c>
      <c r="J23" s="57">
        <f>J22+J16</f>
        <v>2825351</v>
      </c>
      <c r="K23" s="57">
        <f>K22+K16</f>
        <v>0</v>
      </c>
      <c r="L23" s="55">
        <f>L22+L16</f>
        <v>2825351</v>
      </c>
      <c r="M23" s="271"/>
      <c r="N23" s="271"/>
    </row>
    <row r="24" spans="1:14" s="45" customFormat="1" ht="31.5">
      <c r="A24" s="72" t="s">
        <v>85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271"/>
      <c r="N24" s="271"/>
    </row>
    <row r="25" spans="1:14" s="45" customFormat="1" ht="15.75">
      <c r="A25" s="58" t="s">
        <v>70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f>I25+H25+G25+F25+E25+D25+C25+B25</f>
        <v>0</v>
      </c>
      <c r="K25" s="42">
        <v>0</v>
      </c>
      <c r="L25" s="44">
        <f aca="true" t="shared" si="1" ref="L25:L30">J25+K25</f>
        <v>0</v>
      </c>
      <c r="M25" s="271"/>
      <c r="N25" s="271"/>
    </row>
    <row r="26" spans="1:14" s="45" customFormat="1" ht="16.5" customHeight="1">
      <c r="A26" s="58" t="s">
        <v>86</v>
      </c>
      <c r="B26" s="43">
        <v>-30210</v>
      </c>
      <c r="C26" s="43">
        <v>175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f>B26+I26+G26+F26+E26+D26+C26</f>
        <v>-30035</v>
      </c>
      <c r="K26" s="42">
        <v>0</v>
      </c>
      <c r="L26" s="44">
        <f t="shared" si="1"/>
        <v>-30035</v>
      </c>
      <c r="M26" s="271"/>
      <c r="N26" s="271"/>
    </row>
    <row r="27" spans="1:14" s="45" customFormat="1" ht="16.5" customHeight="1">
      <c r="A27" s="242" t="s">
        <v>190</v>
      </c>
      <c r="B27" s="43">
        <v>0</v>
      </c>
      <c r="C27" s="43">
        <v>0</v>
      </c>
      <c r="D27" s="43"/>
      <c r="E27" s="43">
        <v>0</v>
      </c>
      <c r="F27" s="43">
        <v>0</v>
      </c>
      <c r="G27" s="43">
        <v>0</v>
      </c>
      <c r="H27" s="43">
        <v>0</v>
      </c>
      <c r="I27" s="43">
        <v>-58330</v>
      </c>
      <c r="J27" s="43">
        <f>B27+I27+G27+F27+E27+D27+C27</f>
        <v>-58330</v>
      </c>
      <c r="K27" s="78">
        <v>0</v>
      </c>
      <c r="L27" s="44">
        <f t="shared" si="1"/>
        <v>-58330</v>
      </c>
      <c r="M27" s="271"/>
      <c r="N27" s="271"/>
    </row>
    <row r="28" spans="1:14" s="45" customFormat="1" ht="15.75">
      <c r="A28" s="77" t="s">
        <v>103</v>
      </c>
      <c r="B28" s="78">
        <f>B25+B26</f>
        <v>-30210</v>
      </c>
      <c r="C28" s="78">
        <f>C25+C26</f>
        <v>175</v>
      </c>
      <c r="D28" s="78" t="e">
        <f>D25+D26+#REF!</f>
        <v>#REF!</v>
      </c>
      <c r="E28" s="78">
        <f aca="true" t="shared" si="2" ref="E28:K28">E25+E26</f>
        <v>0</v>
      </c>
      <c r="F28" s="78">
        <f t="shared" si="2"/>
        <v>0</v>
      </c>
      <c r="G28" s="78">
        <f t="shared" si="2"/>
        <v>0</v>
      </c>
      <c r="H28" s="78">
        <f t="shared" si="2"/>
        <v>0</v>
      </c>
      <c r="I28" s="78">
        <f>I27</f>
        <v>-58330</v>
      </c>
      <c r="J28" s="78">
        <f>J25+J26+J27</f>
        <v>-88365</v>
      </c>
      <c r="K28" s="78">
        <f t="shared" si="2"/>
        <v>0</v>
      </c>
      <c r="L28" s="85">
        <f t="shared" si="1"/>
        <v>-88365</v>
      </c>
      <c r="M28" s="271"/>
      <c r="N28" s="271"/>
    </row>
    <row r="29" spans="1:14" s="45" customFormat="1" ht="15.75" hidden="1">
      <c r="A29" s="47" t="s">
        <v>141</v>
      </c>
      <c r="B29" s="42">
        <v>0</v>
      </c>
      <c r="C29" s="42">
        <v>0</v>
      </c>
      <c r="D29" s="43">
        <f>-3704*0</f>
        <v>0</v>
      </c>
      <c r="E29" s="42">
        <v>0</v>
      </c>
      <c r="F29" s="42">
        <v>0</v>
      </c>
      <c r="G29" s="42">
        <v>0</v>
      </c>
      <c r="H29" s="42">
        <v>0</v>
      </c>
      <c r="I29" s="43">
        <v>0</v>
      </c>
      <c r="J29" s="42">
        <f>I29+G29+E29+F29+D29+C29+B29</f>
        <v>0</v>
      </c>
      <c r="K29" s="42">
        <v>0</v>
      </c>
      <c r="L29" s="44">
        <f t="shared" si="1"/>
        <v>0</v>
      </c>
      <c r="M29" s="271"/>
      <c r="N29" s="271"/>
    </row>
    <row r="30" spans="1:14" s="45" customFormat="1" ht="15.75">
      <c r="A30" s="146" t="s">
        <v>140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3">
        <v>-11342</v>
      </c>
      <c r="H30" s="43"/>
      <c r="I30" s="43">
        <f>-G30</f>
        <v>11342</v>
      </c>
      <c r="J30" s="42">
        <f>G30+I30</f>
        <v>0</v>
      </c>
      <c r="K30" s="42">
        <v>0</v>
      </c>
      <c r="L30" s="42">
        <f t="shared" si="1"/>
        <v>0</v>
      </c>
      <c r="M30" s="271"/>
      <c r="N30" s="271"/>
    </row>
    <row r="31" spans="1:14" s="45" customFormat="1" ht="15.75" customHeight="1" thickBot="1">
      <c r="A31" s="75" t="s">
        <v>180</v>
      </c>
      <c r="B31" s="252">
        <f>B14+B23+B28</f>
        <v>61397834</v>
      </c>
      <c r="C31" s="252">
        <f>C14+C23+C28</f>
        <v>43790</v>
      </c>
      <c r="D31" s="252" t="e">
        <f>D14+D23+D28+D29</f>
        <v>#REF!</v>
      </c>
      <c r="E31" s="252">
        <f>E14+E23+E28</f>
        <v>-131270</v>
      </c>
      <c r="F31" s="252">
        <f>F14+F23+F28</f>
        <v>0</v>
      </c>
      <c r="G31" s="252">
        <f>G14+G23+G28+G30</f>
        <v>11991541</v>
      </c>
      <c r="H31" s="252">
        <f>H14+H23+H28</f>
        <v>16631209</v>
      </c>
      <c r="I31" s="252">
        <f>I14+I23+I28+I29+I30</f>
        <v>20227094</v>
      </c>
      <c r="J31" s="252">
        <f>J14+J23+J28+J29</f>
        <v>110160198</v>
      </c>
      <c r="K31" s="252">
        <f>K14+K23+K28</f>
        <v>0</v>
      </c>
      <c r="L31" s="253">
        <f>L14+L23+L28+L29</f>
        <v>110160198</v>
      </c>
      <c r="M31" s="271"/>
      <c r="N31" s="271"/>
    </row>
    <row r="32" spans="1:14" s="45" customFormat="1" ht="15.75" customHeight="1" thickBo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9"/>
      <c r="M32" s="271"/>
      <c r="N32" s="271"/>
    </row>
    <row r="33" spans="1:14" s="45" customFormat="1" ht="15.75">
      <c r="A33" s="81" t="s">
        <v>188</v>
      </c>
      <c r="B33" s="73">
        <f>58997847+2500000-123309</f>
        <v>61374538</v>
      </c>
      <c r="C33" s="73">
        <v>44432</v>
      </c>
      <c r="D33" s="73">
        <f>8487*0</f>
        <v>0</v>
      </c>
      <c r="E33" s="73">
        <v>-390931</v>
      </c>
      <c r="F33" s="73">
        <v>0</v>
      </c>
      <c r="G33" s="73">
        <v>11991541</v>
      </c>
      <c r="H33" s="73">
        <v>16631209</v>
      </c>
      <c r="I33" s="73">
        <v>35404567</v>
      </c>
      <c r="J33" s="73">
        <f>I33+G33+F33+E33+D33+C33+B33+H33</f>
        <v>125055356</v>
      </c>
      <c r="K33" s="73">
        <v>2838115</v>
      </c>
      <c r="L33" s="74">
        <f>K33+J33</f>
        <v>127893471</v>
      </c>
      <c r="M33" s="271"/>
      <c r="N33" s="271"/>
    </row>
    <row r="34" spans="1:14" s="45" customFormat="1" ht="15.75">
      <c r="A34" s="46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4">
        <v>0</v>
      </c>
      <c r="M34" s="271"/>
      <c r="N34" s="271"/>
    </row>
    <row r="35" spans="1:14" s="45" customFormat="1" ht="15.75">
      <c r="A35" s="47" t="s">
        <v>161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f>'ф.2'!B81</f>
        <v>6011221</v>
      </c>
      <c r="J35" s="43">
        <f>I35</f>
        <v>6011221</v>
      </c>
      <c r="K35" s="43">
        <f>'ф.2'!B82</f>
        <v>-12060</v>
      </c>
      <c r="L35" s="44">
        <f>J35+K35</f>
        <v>5999161</v>
      </c>
      <c r="M35" s="271"/>
      <c r="N35" s="271"/>
    </row>
    <row r="36" spans="1:14" s="45" customFormat="1" ht="15.75">
      <c r="A36" s="60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271"/>
      <c r="N36" s="271"/>
    </row>
    <row r="37" spans="1:14" s="45" customFormat="1" ht="31.5">
      <c r="A37" s="48" t="s">
        <v>89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271"/>
      <c r="N37" s="271"/>
    </row>
    <row r="38" spans="1:14" s="45" customFormat="1" ht="31.5">
      <c r="A38" s="47" t="s">
        <v>84</v>
      </c>
      <c r="B38" s="43">
        <v>0</v>
      </c>
      <c r="C38" s="43">
        <v>0</v>
      </c>
      <c r="D38" s="43">
        <v>0</v>
      </c>
      <c r="E38" s="49">
        <f>'ф.2'!B90</f>
        <v>-111404</v>
      </c>
      <c r="F38" s="49">
        <v>0</v>
      </c>
      <c r="G38" s="43">
        <v>0</v>
      </c>
      <c r="H38" s="43">
        <v>0</v>
      </c>
      <c r="I38" s="43">
        <v>0</v>
      </c>
      <c r="J38" s="43">
        <f>I38+H38+G38+E38+D38+C38+B38</f>
        <v>-111404</v>
      </c>
      <c r="K38" s="43">
        <v>0</v>
      </c>
      <c r="L38" s="44">
        <f>J38+K38</f>
        <v>-111404</v>
      </c>
      <c r="M38" s="271"/>
      <c r="N38" s="271"/>
    </row>
    <row r="39" spans="1:14" s="45" customFormat="1" ht="31.5" hidden="1">
      <c r="A39" s="47" t="s">
        <v>104</v>
      </c>
      <c r="B39" s="43">
        <v>0</v>
      </c>
      <c r="C39" s="43">
        <v>0</v>
      </c>
      <c r="D39" s="43">
        <v>0</v>
      </c>
      <c r="E39" s="49">
        <f>'ф.2'!B92</f>
        <v>0</v>
      </c>
      <c r="F39" s="49">
        <v>0</v>
      </c>
      <c r="G39" s="43">
        <v>0</v>
      </c>
      <c r="H39" s="49">
        <v>0</v>
      </c>
      <c r="I39" s="43">
        <v>0</v>
      </c>
      <c r="J39" s="43">
        <f>I39+H39+G39+E39+D39+C39+B39</f>
        <v>0</v>
      </c>
      <c r="K39" s="43">
        <v>0</v>
      </c>
      <c r="L39" s="44">
        <f>J39+K39</f>
        <v>0</v>
      </c>
      <c r="M39" s="271"/>
      <c r="N39" s="271"/>
    </row>
    <row r="40" spans="1:14" s="45" customFormat="1" ht="31.5">
      <c r="A40" s="47" t="s">
        <v>170</v>
      </c>
      <c r="B40" s="71"/>
      <c r="C40" s="71"/>
      <c r="D40" s="71"/>
      <c r="E40" s="206"/>
      <c r="F40" s="206">
        <f>'ф.2'!B94-157313</f>
        <v>785810</v>
      </c>
      <c r="G40" s="71"/>
      <c r="H40" s="206"/>
      <c r="I40" s="71"/>
      <c r="J40" s="43">
        <f>F40</f>
        <v>785810</v>
      </c>
      <c r="K40" s="71">
        <v>157313</v>
      </c>
      <c r="L40" s="52">
        <f>J40+K40</f>
        <v>943123</v>
      </c>
      <c r="M40" s="271"/>
      <c r="N40" s="271"/>
    </row>
    <row r="41" spans="1:14" s="45" customFormat="1" ht="32.25" thickBot="1">
      <c r="A41" s="50" t="s">
        <v>90</v>
      </c>
      <c r="B41" s="82">
        <f>B38+B39</f>
        <v>0</v>
      </c>
      <c r="C41" s="82">
        <f aca="true" t="shared" si="3" ref="C41:K41">C38+C39</f>
        <v>0</v>
      </c>
      <c r="D41" s="82">
        <f t="shared" si="3"/>
        <v>0</v>
      </c>
      <c r="E41" s="82">
        <f t="shared" si="3"/>
        <v>-111404</v>
      </c>
      <c r="F41" s="82">
        <f>F38+F39+F40</f>
        <v>785810</v>
      </c>
      <c r="G41" s="82">
        <f t="shared" si="3"/>
        <v>0</v>
      </c>
      <c r="H41" s="82">
        <f t="shared" si="3"/>
        <v>0</v>
      </c>
      <c r="I41" s="82">
        <f t="shared" si="3"/>
        <v>0</v>
      </c>
      <c r="J41" s="82">
        <f>J38+J39+J40</f>
        <v>674406</v>
      </c>
      <c r="K41" s="82">
        <f t="shared" si="3"/>
        <v>0</v>
      </c>
      <c r="L41" s="83">
        <f>L38+L39+L40</f>
        <v>831719</v>
      </c>
      <c r="M41" s="271"/>
      <c r="N41" s="271"/>
    </row>
    <row r="42" spans="1:14" s="45" customFormat="1" ht="16.5" thickBot="1">
      <c r="A42" s="53" t="s">
        <v>91</v>
      </c>
      <c r="B42" s="54">
        <v>0</v>
      </c>
      <c r="C42" s="54">
        <v>0</v>
      </c>
      <c r="D42" s="54">
        <f aca="true" t="shared" si="4" ref="D42:L42">D41</f>
        <v>0</v>
      </c>
      <c r="E42" s="57">
        <f t="shared" si="4"/>
        <v>-111404</v>
      </c>
      <c r="F42" s="57">
        <f>F41</f>
        <v>785810</v>
      </c>
      <c r="G42" s="57">
        <f t="shared" si="4"/>
        <v>0</v>
      </c>
      <c r="H42" s="57">
        <f t="shared" si="4"/>
        <v>0</v>
      </c>
      <c r="I42" s="57">
        <f t="shared" si="4"/>
        <v>0</v>
      </c>
      <c r="J42" s="57">
        <f t="shared" si="4"/>
        <v>674406</v>
      </c>
      <c r="K42" s="57">
        <f t="shared" si="4"/>
        <v>0</v>
      </c>
      <c r="L42" s="55">
        <f t="shared" si="4"/>
        <v>831719</v>
      </c>
      <c r="M42" s="271"/>
      <c r="N42" s="271"/>
    </row>
    <row r="43" spans="1:14" s="61" customFormat="1" ht="16.5" thickBot="1">
      <c r="A43" s="87" t="s">
        <v>162</v>
      </c>
      <c r="B43" s="57">
        <v>0</v>
      </c>
      <c r="C43" s="57">
        <v>0</v>
      </c>
      <c r="D43" s="57">
        <f aca="true" t="shared" si="5" ref="D43:L43">D42+D35</f>
        <v>0</v>
      </c>
      <c r="E43" s="57">
        <f t="shared" si="5"/>
        <v>-111404</v>
      </c>
      <c r="F43" s="57">
        <f t="shared" si="5"/>
        <v>785810</v>
      </c>
      <c r="G43" s="57">
        <f t="shared" si="5"/>
        <v>0</v>
      </c>
      <c r="H43" s="57">
        <f t="shared" si="5"/>
        <v>0</v>
      </c>
      <c r="I43" s="57">
        <f t="shared" si="5"/>
        <v>6011221</v>
      </c>
      <c r="J43" s="57">
        <f t="shared" si="5"/>
        <v>6685627</v>
      </c>
      <c r="K43" s="57">
        <f>K42+K35+K40</f>
        <v>145253</v>
      </c>
      <c r="L43" s="55">
        <f t="shared" si="5"/>
        <v>6830880</v>
      </c>
      <c r="M43" s="271"/>
      <c r="N43" s="271"/>
    </row>
    <row r="44" spans="1:14" s="45" customFormat="1" ht="31.5">
      <c r="A44" s="84" t="s">
        <v>85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5"/>
      <c r="M44" s="271"/>
      <c r="N44" s="271"/>
    </row>
    <row r="45" spans="1:14" s="45" customFormat="1" ht="15.75">
      <c r="A45" s="47" t="s">
        <v>70</v>
      </c>
      <c r="B45" s="43">
        <v>9600170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3">
        <f>I45+G45+F45+E45+D45+C45+B45</f>
        <v>9600170</v>
      </c>
      <c r="K45" s="42">
        <v>0</v>
      </c>
      <c r="L45" s="44">
        <f>J45+K45</f>
        <v>9600170</v>
      </c>
      <c r="M45" s="271"/>
      <c r="N45" s="271"/>
    </row>
    <row r="46" spans="1:14" s="45" customFormat="1" ht="15.75">
      <c r="A46" s="47" t="s">
        <v>86</v>
      </c>
      <c r="B46" s="43">
        <v>7230</v>
      </c>
      <c r="C46" s="43">
        <f>817*0+83</f>
        <v>83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3">
        <v>0</v>
      </c>
      <c r="J46" s="43">
        <f>I46+G46+F46+E46+D46+C46+B46</f>
        <v>7313</v>
      </c>
      <c r="K46" s="42">
        <v>0</v>
      </c>
      <c r="L46" s="44">
        <f>J46+K46</f>
        <v>7313</v>
      </c>
      <c r="M46" s="271"/>
      <c r="N46" s="271"/>
    </row>
    <row r="47" spans="1:14" s="45" customFormat="1" ht="15.75">
      <c r="A47" s="47" t="s">
        <v>168</v>
      </c>
      <c r="B47" s="43">
        <v>0</v>
      </c>
      <c r="C47" s="43">
        <v>165059</v>
      </c>
      <c r="D47" s="42"/>
      <c r="E47" s="42">
        <v>0</v>
      </c>
      <c r="F47" s="42"/>
      <c r="G47" s="42">
        <v>0</v>
      </c>
      <c r="H47" s="42">
        <v>0</v>
      </c>
      <c r="I47" s="43">
        <f>-111797*0</f>
        <v>0</v>
      </c>
      <c r="J47" s="43">
        <f>I47+G47+F47+E47+D47+C47+B47</f>
        <v>165059</v>
      </c>
      <c r="K47" s="42">
        <v>-1383014</v>
      </c>
      <c r="L47" s="44">
        <f>K47+J47</f>
        <v>-1217955</v>
      </c>
      <c r="M47" s="271">
        <v>1217955</v>
      </c>
      <c r="N47" s="271">
        <f>L47-M47</f>
        <v>-2435910</v>
      </c>
    </row>
    <row r="48" spans="1:14" s="45" customFormat="1" ht="15.75">
      <c r="A48" s="242" t="s">
        <v>190</v>
      </c>
      <c r="B48" s="43">
        <v>0</v>
      </c>
      <c r="C48" s="43">
        <v>0</v>
      </c>
      <c r="D48" s="42"/>
      <c r="E48" s="42">
        <v>0</v>
      </c>
      <c r="F48" s="42">
        <v>0</v>
      </c>
      <c r="G48" s="42">
        <v>0</v>
      </c>
      <c r="H48" s="42">
        <v>0</v>
      </c>
      <c r="I48" s="43">
        <v>-60461</v>
      </c>
      <c r="J48" s="43">
        <f>I48+G48+F48+E48+D48+C48+B48</f>
        <v>-60461</v>
      </c>
      <c r="K48" s="42"/>
      <c r="L48" s="44">
        <f>K48+J48</f>
        <v>-60461</v>
      </c>
      <c r="M48" s="271"/>
      <c r="N48" s="271"/>
    </row>
    <row r="49" spans="1:14" s="45" customFormat="1" ht="15.75" customHeight="1">
      <c r="A49" s="77" t="s">
        <v>103</v>
      </c>
      <c r="B49" s="42">
        <f>B45+B46</f>
        <v>9607400</v>
      </c>
      <c r="C49" s="42">
        <f>C45+C46+C47</f>
        <v>165142</v>
      </c>
      <c r="D49" s="42" t="e">
        <f>D45+D46+#REF!+#REF!</f>
        <v>#REF!</v>
      </c>
      <c r="E49" s="42">
        <f>E45+E46</f>
        <v>0</v>
      </c>
      <c r="F49" s="42">
        <f>F45+F46</f>
        <v>0</v>
      </c>
      <c r="G49" s="42">
        <f>G45+G46</f>
        <v>0</v>
      </c>
      <c r="H49" s="42">
        <f>H45+H46</f>
        <v>0</v>
      </c>
      <c r="I49" s="42">
        <f>I48</f>
        <v>-60461</v>
      </c>
      <c r="J49" s="42">
        <f>J45+J46+J47+J48</f>
        <v>9712081</v>
      </c>
      <c r="K49" s="42">
        <f>K45+K46+K47</f>
        <v>-1383014</v>
      </c>
      <c r="L49" s="44">
        <f>L45+L46+L47+L48</f>
        <v>8329067</v>
      </c>
      <c r="M49" s="271"/>
      <c r="N49" s="271"/>
    </row>
    <row r="50" spans="1:14" s="45" customFormat="1" ht="15.75" customHeight="1" hidden="1">
      <c r="A50" s="47" t="s">
        <v>141</v>
      </c>
      <c r="B50" s="59">
        <v>0</v>
      </c>
      <c r="C50" s="59">
        <v>0</v>
      </c>
      <c r="D50" s="71">
        <f>-298*0</f>
        <v>0</v>
      </c>
      <c r="E50" s="59">
        <v>0</v>
      </c>
      <c r="F50" s="59">
        <v>0</v>
      </c>
      <c r="G50" s="43">
        <v>0</v>
      </c>
      <c r="H50" s="43">
        <v>0</v>
      </c>
      <c r="I50" s="43">
        <v>0</v>
      </c>
      <c r="J50" s="59">
        <f>I50+G50+F50+E50+D50+C50+B50</f>
        <v>0</v>
      </c>
      <c r="K50" s="59">
        <v>0</v>
      </c>
      <c r="L50" s="44">
        <f>K50+J50</f>
        <v>0</v>
      </c>
      <c r="M50" s="271"/>
      <c r="N50" s="271"/>
    </row>
    <row r="51" spans="1:14" s="45" customFormat="1" ht="15.75">
      <c r="A51" s="70" t="s">
        <v>140</v>
      </c>
      <c r="B51" s="59">
        <v>0</v>
      </c>
      <c r="C51" s="59">
        <v>0</v>
      </c>
      <c r="D51" s="71">
        <v>0</v>
      </c>
      <c r="E51" s="59">
        <v>0</v>
      </c>
      <c r="F51" s="59">
        <v>0</v>
      </c>
      <c r="G51" s="43">
        <v>249876</v>
      </c>
      <c r="H51" s="43">
        <v>0</v>
      </c>
      <c r="I51" s="43">
        <f>-G51</f>
        <v>-249876</v>
      </c>
      <c r="J51" s="59">
        <f>I51+G51</f>
        <v>0</v>
      </c>
      <c r="K51" s="59">
        <v>0</v>
      </c>
      <c r="L51" s="52">
        <f>K51+J51</f>
        <v>0</v>
      </c>
      <c r="M51" s="271"/>
      <c r="N51" s="271"/>
    </row>
    <row r="52" spans="1:14" s="45" customFormat="1" ht="18.75" customHeight="1" thickBot="1">
      <c r="A52" s="62" t="s">
        <v>181</v>
      </c>
      <c r="B52" s="63">
        <f>B33+B43+B49</f>
        <v>70981938</v>
      </c>
      <c r="C52" s="63">
        <f>C33+C43+C49</f>
        <v>209574</v>
      </c>
      <c r="D52" s="63" t="e">
        <f>D33+D43+D49+D50</f>
        <v>#REF!</v>
      </c>
      <c r="E52" s="63">
        <f>E33+E43+E49</f>
        <v>-502335</v>
      </c>
      <c r="F52" s="63">
        <f>F33+F43+F49</f>
        <v>785810</v>
      </c>
      <c r="G52" s="63">
        <f>G33+G43+G49+G51</f>
        <v>12241417</v>
      </c>
      <c r="H52" s="63">
        <f>H33+H43+H49</f>
        <v>16631209</v>
      </c>
      <c r="I52" s="63">
        <f>I33+I43+I49+I50+I51</f>
        <v>41105451</v>
      </c>
      <c r="J52" s="63">
        <f>J33+J43+J49+J50</f>
        <v>141453064</v>
      </c>
      <c r="K52" s="63">
        <f>K33+K43+K49</f>
        <v>1600354</v>
      </c>
      <c r="L52" s="64">
        <f>L33+L43+L49+L50</f>
        <v>143053418</v>
      </c>
      <c r="M52" s="271">
        <f>M47+K47</f>
        <v>-165059</v>
      </c>
      <c r="N52" s="271"/>
    </row>
    <row r="53" spans="1:12" s="271" customFormat="1" ht="16.5" customHeight="1">
      <c r="A53" s="272"/>
      <c r="B53" s="273">
        <f>B52-'ф.1'!B49</f>
        <v>0</v>
      </c>
      <c r="C53" s="273">
        <f>C52-'ф.1'!B50</f>
        <v>0</v>
      </c>
      <c r="D53" s="273" t="e">
        <f>D52-'[2]ф.1 конс.'!B50</f>
        <v>#REF!</v>
      </c>
      <c r="E53" s="273">
        <f>E52-'ф.1'!B51</f>
        <v>0</v>
      </c>
      <c r="F53" s="273">
        <f>F52-'ф.1'!B52</f>
        <v>0</v>
      </c>
      <c r="G53" s="273">
        <f>G52-'ф.1'!B53</f>
        <v>0</v>
      </c>
      <c r="H53" s="273">
        <f>H52-'ф.1'!B54</f>
        <v>0</v>
      </c>
      <c r="I53" s="273">
        <f>'ф.1'!B55-'ф.4'!I52</f>
        <v>0</v>
      </c>
      <c r="J53" s="273">
        <f>J52-'ф.1'!B56</f>
        <v>0</v>
      </c>
      <c r="K53" s="273">
        <f>K52-'ф.1'!B57</f>
        <v>0</v>
      </c>
      <c r="L53" s="273">
        <f>L52-'ф.1'!B58</f>
        <v>0</v>
      </c>
    </row>
    <row r="54" spans="1:12" ht="19.5" customHeight="1">
      <c r="A54" s="254" t="s">
        <v>46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1.25" customHeight="1">
      <c r="A55" s="25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1.25" customHeight="1">
      <c r="A56" s="25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9" ht="19.5" customHeight="1">
      <c r="A57" s="256" t="str">
        <f>'ф.1'!A66</f>
        <v>Председатель Правления                                              </v>
      </c>
      <c r="B57" s="257"/>
      <c r="C57" s="191" t="str">
        <f>'ф.1'!B66</f>
        <v>Таджияков Е.Б.</v>
      </c>
      <c r="I57" s="65"/>
    </row>
    <row r="58" spans="1:3" ht="14.25" customHeight="1">
      <c r="A58" s="258"/>
      <c r="B58" s="258"/>
      <c r="C58" s="258"/>
    </row>
    <row r="59" spans="1:3" ht="16.5" customHeight="1">
      <c r="A59" s="259"/>
      <c r="B59" s="259"/>
      <c r="C59" s="259"/>
    </row>
    <row r="60" spans="1:4" ht="20.25" customHeight="1">
      <c r="A60" s="260" t="str">
        <f>'ф.1'!A69</f>
        <v>Главный бухгалтер                                                        </v>
      </c>
      <c r="B60" s="191"/>
      <c r="C60" s="191" t="str">
        <f>'ф.1'!B69</f>
        <v>Багаутдинова Н.М.</v>
      </c>
      <c r="D60" s="154"/>
    </row>
    <row r="61" spans="1:3" ht="10.5" customHeight="1">
      <c r="A61" s="261"/>
      <c r="B61" s="262"/>
      <c r="C61" s="262"/>
    </row>
    <row r="62" spans="1:11" ht="21" customHeight="1">
      <c r="A62" s="263" t="s">
        <v>117</v>
      </c>
      <c r="B62" s="262"/>
      <c r="C62" s="262"/>
      <c r="H62" s="264"/>
      <c r="I62" s="45"/>
      <c r="J62" s="45"/>
      <c r="K62" s="45"/>
    </row>
    <row r="63" spans="1:11" ht="19.5">
      <c r="A63" s="265" t="s">
        <v>118</v>
      </c>
      <c r="B63" s="262"/>
      <c r="C63" s="262"/>
      <c r="I63" s="45"/>
      <c r="J63" s="45"/>
      <c r="K63" s="45"/>
    </row>
    <row r="64" spans="1:11" ht="15.75">
      <c r="A64" s="266" t="s">
        <v>119</v>
      </c>
      <c r="B64" s="262"/>
      <c r="C64" s="262"/>
      <c r="I64" s="45"/>
      <c r="J64" s="45"/>
      <c r="K64" s="45"/>
    </row>
    <row r="65" spans="1:11" ht="15">
      <c r="A65" s="267"/>
      <c r="I65" s="45"/>
      <c r="J65" s="45"/>
      <c r="K65" s="45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2016-04-27T11:01:34Z</cp:lastPrinted>
  <dcterms:created xsi:type="dcterms:W3CDTF">2014-03-12T12:50:09Z</dcterms:created>
  <dcterms:modified xsi:type="dcterms:W3CDTF">2016-04-28T09:17:12Z</dcterms:modified>
  <cp:category/>
  <cp:version/>
  <cp:contentType/>
  <cp:contentStatus/>
</cp:coreProperties>
</file>